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85" yWindow="135" windowWidth="15450" windowHeight="9300" tabRatio="954" activeTab="2"/>
  </bookViews>
  <sheets>
    <sheet name="Grunnupplýsingar" sheetId="10" r:id="rId1"/>
    <sheet name="bókunarblað" sheetId="11" r:id="rId2"/>
    <sheet name="Launaseðill 1" sheetId="1" r:id="rId3"/>
    <sheet name="Launaseðill 2" sheetId="4" r:id="rId4"/>
    <sheet name="Launaseðill 3" sheetId="6" r:id="rId5"/>
    <sheet name="Lífeyrissjóður" sheetId="7" r:id="rId6"/>
    <sheet name="Viðbótarlífeyrissjóður" sheetId="2" r:id="rId7"/>
    <sheet name="Félagsgjöld" sheetId="8" r:id="rId8"/>
    <sheet name="Meðlag" sheetId="9" r:id="rId9"/>
    <sheet name="Staðgreiðsla" sheetId="3" r:id="rId10"/>
    <sheet name="orlof í banka" sheetId="12" r:id="rId11"/>
    <sheet name="Ógr. laun" sheetId="13" r:id="rId12"/>
    <sheet name="launaforsendur" sheetId="14" r:id="rId13"/>
    <sheet name="Sheet2" sheetId="15" r:id="rId14"/>
  </sheets>
  <definedNames>
    <definedName name="akstur">'Launaseðill 1'!$E$19</definedName>
    <definedName name="bilast">'Launaseðill 1'!$E$18</definedName>
    <definedName name="felagsgj">'Launaseðill 1'!$E$31</definedName>
    <definedName name="ft">Grunnupplýsingar!$C$6:$E$9</definedName>
    <definedName name="ft_heimili">Grunnupplýsingar!$C$8</definedName>
    <definedName name="ft_heiti">Grunnupplýsingar!$C$6</definedName>
    <definedName name="ft_kt">Grunnupplýsingar!$C$7</definedName>
    <definedName name="ft_stadur">Grunnupplýsingar!$C$9</definedName>
    <definedName name="lifsj">'Launaseðill 1'!$E$32</definedName>
    <definedName name="lifsjvidb">'Launaseðill 1'!$E$33</definedName>
    <definedName name="manlaun">'Launaseðill 1'!$E$15</definedName>
    <definedName name="Orlof">'Launaseðill 1'!$E$22</definedName>
    <definedName name="personufradr">Grunnupplýsingar!$C$21</definedName>
    <definedName name="_xlnm.Print_Area" localSheetId="1">bókunarblað!$A$1:$F$47</definedName>
    <definedName name="_xlnm.Print_Area" localSheetId="7">Félagsgjöld!$A$1:$F$24</definedName>
    <definedName name="_xlnm.Print_Area" localSheetId="2">'Launaseðill 1'!$A$1:$E$50</definedName>
    <definedName name="_xlnm.Print_Area" localSheetId="3">'Launaseðill 2'!$A$1:$E$47</definedName>
    <definedName name="_xlnm.Print_Area" localSheetId="4">'Launaseðill 3'!$A$1:$E$50</definedName>
    <definedName name="_xlnm.Print_Area" localSheetId="5">Lífeyrissjóður!$A$1:$F$27</definedName>
    <definedName name="skattur">Grunnupplýsingar!$C$17</definedName>
    <definedName name="tryggingagjald">Grunnupplýsingar!$C$22</definedName>
    <definedName name="utbnr">Grunnupplýsingar!$C$15</definedName>
    <definedName name="utbtimabil">Grunnupplýsingar!$C$12</definedName>
    <definedName name="utdagur">Grunnupplýsingar!$C$13</definedName>
    <definedName name="utmanudur">Grunnupplýsingar!$C$14</definedName>
    <definedName name="yv">'Launaseðill 1'!$E$16</definedName>
  </definedNames>
  <calcPr calcId="125725"/>
</workbook>
</file>

<file path=xl/calcChain.xml><?xml version="1.0" encoding="utf-8"?>
<calcChain xmlns="http://schemas.openxmlformats.org/spreadsheetml/2006/main">
  <c r="E15" i="6"/>
  <c r="E15" i="4"/>
  <c r="E15" i="1"/>
  <c r="A15" i="14"/>
  <c r="B15" s="1"/>
  <c r="E20" i="6"/>
  <c r="E34" s="1"/>
  <c r="E19"/>
  <c r="E18"/>
  <c r="E16"/>
  <c r="E22" s="1"/>
  <c r="E20" i="4"/>
  <c r="E34" s="1"/>
  <c r="E19"/>
  <c r="E18"/>
  <c r="E16"/>
  <c r="E22" s="1"/>
  <c r="C19" i="10"/>
  <c r="C18"/>
  <c r="C17"/>
  <c r="G38" i="14"/>
  <c r="C38"/>
  <c r="B38"/>
  <c r="D38" s="1"/>
  <c r="H37"/>
  <c r="G37"/>
  <c r="C37"/>
  <c r="B37"/>
  <c r="D37" s="1"/>
  <c r="G36"/>
  <c r="C36"/>
  <c r="B36"/>
  <c r="D36" s="1"/>
  <c r="H35"/>
  <c r="G35"/>
  <c r="C35"/>
  <c r="B35"/>
  <c r="D35" s="1"/>
  <c r="G34"/>
  <c r="C34"/>
  <c r="B34"/>
  <c r="D34" s="1"/>
  <c r="H33"/>
  <c r="G33"/>
  <c r="C33"/>
  <c r="B33"/>
  <c r="D33" s="1"/>
  <c r="G32"/>
  <c r="C32"/>
  <c r="B32"/>
  <c r="D32" s="1"/>
  <c r="H31"/>
  <c r="G31"/>
  <c r="C31"/>
  <c r="B31"/>
  <c r="D31" s="1"/>
  <c r="G30"/>
  <c r="C30"/>
  <c r="B30"/>
  <c r="D30" s="1"/>
  <c r="H29"/>
  <c r="G29"/>
  <c r="C29"/>
  <c r="B29"/>
  <c r="D29" s="1"/>
  <c r="G28"/>
  <c r="C28"/>
  <c r="B28"/>
  <c r="D28" s="1"/>
  <c r="H27"/>
  <c r="G27"/>
  <c r="C27"/>
  <c r="B27"/>
  <c r="D27" s="1"/>
  <c r="G26"/>
  <c r="C26"/>
  <c r="B26"/>
  <c r="D26" s="1"/>
  <c r="H25"/>
  <c r="G25"/>
  <c r="B25"/>
  <c r="G24"/>
  <c r="C24"/>
  <c r="B24"/>
  <c r="D24" s="1"/>
  <c r="H23"/>
  <c r="G23"/>
  <c r="B23"/>
  <c r="G22"/>
  <c r="C22"/>
  <c r="B22"/>
  <c r="D22" s="1"/>
  <c r="H21"/>
  <c r="G21"/>
  <c r="B21"/>
  <c r="G20"/>
  <c r="C20"/>
  <c r="B20"/>
  <c r="D20" s="1"/>
  <c r="H19"/>
  <c r="G19"/>
  <c r="B19"/>
  <c r="G18"/>
  <c r="C18"/>
  <c r="B18"/>
  <c r="D18" s="1"/>
  <c r="H17"/>
  <c r="G17"/>
  <c r="B17"/>
  <c r="G15"/>
  <c r="G14"/>
  <c r="E14"/>
  <c r="I8"/>
  <c r="H14" s="1"/>
  <c r="F8"/>
  <c r="D14" s="1"/>
  <c r="F7"/>
  <c r="C14" s="1"/>
  <c r="F6"/>
  <c r="B14" s="1"/>
  <c r="A25" i="3"/>
  <c r="C15" i="13"/>
  <c r="B15"/>
  <c r="A15"/>
  <c r="B14"/>
  <c r="A14"/>
  <c r="B13"/>
  <c r="A13"/>
  <c r="A7"/>
  <c r="A6"/>
  <c r="A5"/>
  <c r="A4"/>
  <c r="A4" i="11"/>
  <c r="A3"/>
  <c r="A2"/>
  <c r="A1"/>
  <c r="E20" i="1"/>
  <c r="E16" i="11" s="1"/>
  <c r="F17" s="1"/>
  <c r="E21" i="8"/>
  <c r="F30" i="11"/>
  <c r="F31"/>
  <c r="F29"/>
  <c r="C31"/>
  <c r="C30"/>
  <c r="B31"/>
  <c r="B30"/>
  <c r="B29"/>
  <c r="C29"/>
  <c r="F28"/>
  <c r="F27"/>
  <c r="F26"/>
  <c r="B26"/>
  <c r="B28"/>
  <c r="B27"/>
  <c r="C28"/>
  <c r="C27"/>
  <c r="C26"/>
  <c r="C17"/>
  <c r="F33"/>
  <c r="C14" i="12"/>
  <c r="C13" i="9"/>
  <c r="C14"/>
  <c r="C18" s="1"/>
  <c r="F38" i="11" s="1"/>
  <c r="C15" i="9"/>
  <c r="C13" i="12"/>
  <c r="B15"/>
  <c r="A15"/>
  <c r="B14"/>
  <c r="A14"/>
  <c r="B13"/>
  <c r="A13"/>
  <c r="A7"/>
  <c r="A6"/>
  <c r="A5"/>
  <c r="A4"/>
  <c r="C14" i="10"/>
  <c r="E1" i="13" s="1"/>
  <c r="B19" i="11"/>
  <c r="B18"/>
  <c r="B15" i="9"/>
  <c r="B14"/>
  <c r="A15"/>
  <c r="A14"/>
  <c r="B14" i="2"/>
  <c r="A14"/>
  <c r="E10" i="6"/>
  <c r="E10" i="4"/>
  <c r="E10" i="1"/>
  <c r="E9" i="6"/>
  <c r="E9" i="4"/>
  <c r="E9" i="1"/>
  <c r="E8" i="6"/>
  <c r="E8" i="4"/>
  <c r="E8" i="1"/>
  <c r="A7" i="3"/>
  <c r="A6"/>
  <c r="A5"/>
  <c r="A4"/>
  <c r="A8" i="9"/>
  <c r="A7"/>
  <c r="A6"/>
  <c r="A5"/>
  <c r="A8" i="8"/>
  <c r="A7"/>
  <c r="A6"/>
  <c r="A5"/>
  <c r="A8" i="2"/>
  <c r="A7"/>
  <c r="A6"/>
  <c r="A5"/>
  <c r="A8" i="7"/>
  <c r="A7"/>
  <c r="A6"/>
  <c r="A5"/>
  <c r="A4" i="6"/>
  <c r="A3"/>
  <c r="A2"/>
  <c r="A1"/>
  <c r="A4" i="4"/>
  <c r="A3"/>
  <c r="A2"/>
  <c r="A1"/>
  <c r="A4" i="1"/>
  <c r="A3"/>
  <c r="A2"/>
  <c r="A1"/>
  <c r="B15" i="3"/>
  <c r="A15"/>
  <c r="B14"/>
  <c r="A14"/>
  <c r="B13"/>
  <c r="A13"/>
  <c r="B13" i="9"/>
  <c r="A13"/>
  <c r="B15" i="8"/>
  <c r="A15"/>
  <c r="B14"/>
  <c r="A14"/>
  <c r="B13"/>
  <c r="A13"/>
  <c r="B15" i="2"/>
  <c r="A15"/>
  <c r="B13"/>
  <c r="A13"/>
  <c r="A15" i="7"/>
  <c r="B15"/>
  <c r="B14"/>
  <c r="A14"/>
  <c r="B13"/>
  <c r="A13"/>
  <c r="E13" i="11"/>
  <c r="E16" i="1"/>
  <c r="E12" i="11" s="1"/>
  <c r="E18" i="1"/>
  <c r="E14" i="11" s="1"/>
  <c r="E19" i="1"/>
  <c r="E15" i="11" s="1"/>
  <c r="E1" i="2"/>
  <c r="E18" i="11"/>
  <c r="C15" i="12"/>
  <c r="C18" s="1"/>
  <c r="F35" i="11" s="1"/>
  <c r="D14" i="3"/>
  <c r="D1" i="8"/>
  <c r="E34" i="1"/>
  <c r="C7" i="11" l="1"/>
  <c r="D1" i="9"/>
  <c r="E1" i="3"/>
  <c r="E1" i="12"/>
  <c r="F6" i="11"/>
  <c r="D1" i="7"/>
  <c r="E13" i="3"/>
  <c r="E18" s="1"/>
  <c r="E32" i="4"/>
  <c r="F14" i="3" s="1"/>
  <c r="F25" i="11"/>
  <c r="C14" i="3"/>
  <c r="E32" i="6"/>
  <c r="D26"/>
  <c r="B58" s="1"/>
  <c r="E33"/>
  <c r="C15" i="2" s="1"/>
  <c r="E31" i="6"/>
  <c r="C15" i="8" s="1"/>
  <c r="D15" s="1"/>
  <c r="E15" s="1"/>
  <c r="E25" i="6"/>
  <c r="C15" i="3"/>
  <c r="E25" i="4"/>
  <c r="E31"/>
  <c r="C14" i="8" s="1"/>
  <c r="D14" s="1"/>
  <c r="E14" s="1"/>
  <c r="E33" i="4"/>
  <c r="C14" i="2" s="1"/>
  <c r="D26" i="4"/>
  <c r="D26" i="1"/>
  <c r="B58" s="1"/>
  <c r="E11" i="11"/>
  <c r="D13" i="3"/>
  <c r="D18" s="1"/>
  <c r="C15" i="14"/>
  <c r="D15" s="1"/>
  <c r="E15" s="1"/>
  <c r="C21" i="9"/>
  <c r="E22" i="1"/>
  <c r="E31" s="1"/>
  <c r="C13" i="8" s="1"/>
  <c r="E38" i="14"/>
  <c r="E36"/>
  <c r="E34"/>
  <c r="E32"/>
  <c r="E30"/>
  <c r="E28"/>
  <c r="E26"/>
  <c r="E24"/>
  <c r="E22"/>
  <c r="E20"/>
  <c r="E18"/>
  <c r="I17"/>
  <c r="J17" s="1"/>
  <c r="I19"/>
  <c r="J19" s="1"/>
  <c r="I21"/>
  <c r="J21" s="1"/>
  <c r="I23"/>
  <c r="J23" s="1"/>
  <c r="I25"/>
  <c r="J25" s="1"/>
  <c r="I29"/>
  <c r="J29" s="1"/>
  <c r="I33"/>
  <c r="J33" s="1"/>
  <c r="I37"/>
  <c r="J37" s="1"/>
  <c r="D21"/>
  <c r="D25"/>
  <c r="I27"/>
  <c r="J27" s="1"/>
  <c r="I28"/>
  <c r="J28" s="1"/>
  <c r="I31"/>
  <c r="J31" s="1"/>
  <c r="I32"/>
  <c r="J32" s="1"/>
  <c r="I35"/>
  <c r="J35" s="1"/>
  <c r="I36"/>
  <c r="J36" s="1"/>
  <c r="H15"/>
  <c r="I15" s="1"/>
  <c r="J15" s="1"/>
  <c r="C17"/>
  <c r="H18"/>
  <c r="I18" s="1"/>
  <c r="J18" s="1"/>
  <c r="C19"/>
  <c r="D19" s="1"/>
  <c r="H20"/>
  <c r="I20" s="1"/>
  <c r="J20" s="1"/>
  <c r="C21"/>
  <c r="E21"/>
  <c r="H22"/>
  <c r="I22" s="1"/>
  <c r="J22" s="1"/>
  <c r="C23"/>
  <c r="D23" s="1"/>
  <c r="H24"/>
  <c r="I24" s="1"/>
  <c r="J24" s="1"/>
  <c r="C25"/>
  <c r="E25"/>
  <c r="H26"/>
  <c r="I26" s="1"/>
  <c r="J26" s="1"/>
  <c r="E27"/>
  <c r="H28"/>
  <c r="E29"/>
  <c r="H30"/>
  <c r="I30" s="1"/>
  <c r="J30" s="1"/>
  <c r="E31"/>
  <c r="H32"/>
  <c r="E33"/>
  <c r="H34"/>
  <c r="I34" s="1"/>
  <c r="J34" s="1"/>
  <c r="E35"/>
  <c r="H36"/>
  <c r="E37"/>
  <c r="H38"/>
  <c r="I38" s="1"/>
  <c r="J38" s="1"/>
  <c r="C14" i="13"/>
  <c r="C14" i="7" l="1"/>
  <c r="B58" i="4"/>
  <c r="C58" s="1"/>
  <c r="C58" i="6"/>
  <c r="C15" i="7"/>
  <c r="F15" i="3"/>
  <c r="C58" i="1"/>
  <c r="D58" s="1"/>
  <c r="E25"/>
  <c r="B21" i="3" s="1"/>
  <c r="E33" i="1"/>
  <c r="C13" i="2" s="1"/>
  <c r="C17" s="1"/>
  <c r="C13" i="3"/>
  <c r="C18" s="1"/>
  <c r="E19" i="11"/>
  <c r="E32" i="1"/>
  <c r="D13" i="8"/>
  <c r="C17"/>
  <c r="F37" i="14"/>
  <c r="K37"/>
  <c r="L37" s="1"/>
  <c r="F33"/>
  <c r="K33"/>
  <c r="L33" s="1"/>
  <c r="F31"/>
  <c r="K31"/>
  <c r="L31" s="1"/>
  <c r="F27"/>
  <c r="K27"/>
  <c r="L27" s="1"/>
  <c r="F21"/>
  <c r="K21"/>
  <c r="L21" s="1"/>
  <c r="K18"/>
  <c r="L18" s="1"/>
  <c r="F18"/>
  <c r="K22"/>
  <c r="L22" s="1"/>
  <c r="F22"/>
  <c r="K26"/>
  <c r="L26" s="1"/>
  <c r="F26"/>
  <c r="K30"/>
  <c r="L30" s="1"/>
  <c r="F30"/>
  <c r="K34"/>
  <c r="L34" s="1"/>
  <c r="F34"/>
  <c r="K38"/>
  <c r="L38" s="1"/>
  <c r="F38"/>
  <c r="D17"/>
  <c r="E17" s="1"/>
  <c r="E23"/>
  <c r="E19"/>
  <c r="F35"/>
  <c r="K35"/>
  <c r="L35" s="1"/>
  <c r="F29"/>
  <c r="K29"/>
  <c r="L29" s="1"/>
  <c r="F25"/>
  <c r="K25"/>
  <c r="L25" s="1"/>
  <c r="K15"/>
  <c r="L15" s="1"/>
  <c r="F15"/>
  <c r="K20"/>
  <c r="L20" s="1"/>
  <c r="F20"/>
  <c r="K24"/>
  <c r="L24" s="1"/>
  <c r="F24"/>
  <c r="K28"/>
  <c r="L28" s="1"/>
  <c r="F28"/>
  <c r="K32"/>
  <c r="L32" s="1"/>
  <c r="F32"/>
  <c r="K36"/>
  <c r="L36" s="1"/>
  <c r="F36"/>
  <c r="D58" i="4" l="1"/>
  <c r="E58" s="1"/>
  <c r="D41" s="1"/>
  <c r="D42" s="1"/>
  <c r="E43" s="1"/>
  <c r="E44" s="1"/>
  <c r="E47" s="1"/>
  <c r="D58" i="6"/>
  <c r="E58" s="1"/>
  <c r="D41" s="1"/>
  <c r="D42" s="1"/>
  <c r="E43" s="1"/>
  <c r="E44" s="1"/>
  <c r="E47" s="1"/>
  <c r="E58" i="1"/>
  <c r="D41" s="1"/>
  <c r="D42" s="1"/>
  <c r="E13" i="8"/>
  <c r="E17" s="1"/>
  <c r="D17"/>
  <c r="C13" i="7"/>
  <c r="C17" s="1"/>
  <c r="F13" i="3"/>
  <c r="F18" s="1"/>
  <c r="C18" i="2"/>
  <c r="E22" i="11" s="1"/>
  <c r="F17" i="14"/>
  <c r="K17"/>
  <c r="L17" s="1"/>
  <c r="F19"/>
  <c r="K19"/>
  <c r="L19" s="1"/>
  <c r="F23"/>
  <c r="K23"/>
  <c r="L23" s="1"/>
  <c r="E43" i="1" l="1"/>
  <c r="E44" s="1"/>
  <c r="E47" s="1"/>
  <c r="C13" i="13" s="1"/>
  <c r="C18" s="1"/>
  <c r="C19" i="2"/>
  <c r="C20" i="8"/>
  <c r="F40" i="11" s="1"/>
  <c r="E23"/>
  <c r="C18" i="7"/>
  <c r="C19" s="1"/>
  <c r="G14" i="3" l="1"/>
  <c r="G15"/>
  <c r="F34" i="11"/>
  <c r="G13" i="3"/>
  <c r="F39" i="11"/>
  <c r="B22" i="3"/>
  <c r="B23" s="1"/>
  <c r="B25" s="1"/>
  <c r="E21" i="11"/>
  <c r="G18" i="3" l="1"/>
  <c r="F36" i="11" s="1"/>
  <c r="F37"/>
  <c r="F42" l="1"/>
  <c r="D25" i="3"/>
  <c r="E20" i="11"/>
  <c r="E42" s="1"/>
  <c r="G36"/>
  <c r="F44" l="1"/>
  <c r="F45" s="1"/>
</calcChain>
</file>

<file path=xl/comments1.xml><?xml version="1.0" encoding="utf-8"?>
<comments xmlns="http://schemas.openxmlformats.org/spreadsheetml/2006/main">
  <authors>
    <author>Notandi</author>
  </authors>
  <commentList>
    <comment ref="B13" authorId="0">
      <text>
        <r>
          <rPr>
            <sz val="8"/>
            <color indexed="81"/>
            <rFont val="Tahoma"/>
            <family val="2"/>
          </rPr>
          <t xml:space="preserve">ath. lífsj. framlag ekki dregið frá skattstofni hér.. Svo skattstofn er ekki ... </t>
        </r>
      </text>
    </comment>
  </commentList>
</comments>
</file>

<file path=xl/sharedStrings.xml><?xml version="1.0" encoding="utf-8"?>
<sst xmlns="http://schemas.openxmlformats.org/spreadsheetml/2006/main" count="293" uniqueCount="143">
  <si>
    <t>Launaseðill</t>
  </si>
  <si>
    <t>Útborgunardagur</t>
  </si>
  <si>
    <t xml:space="preserve">Kennitala </t>
  </si>
  <si>
    <t>Tímabil</t>
  </si>
  <si>
    <t>Nr. Launaseðils</t>
  </si>
  <si>
    <t>Lýsing</t>
  </si>
  <si>
    <t>Mánaðarlaun</t>
  </si>
  <si>
    <t>Yfirvinna</t>
  </si>
  <si>
    <t>Bílastyrkur</t>
  </si>
  <si>
    <t>Akstur skv akstursbók</t>
  </si>
  <si>
    <t>Skattstofn</t>
  </si>
  <si>
    <t>Frádráttur</t>
  </si>
  <si>
    <t>Lífeyrissjóður verslunarmanna</t>
  </si>
  <si>
    <t>Starfsmannafélag</t>
  </si>
  <si>
    <t>Sjoppa</t>
  </si>
  <si>
    <t>Mötuneyti</t>
  </si>
  <si>
    <t>Persónuafsláttur</t>
  </si>
  <si>
    <t>Staðgreiðsla alls</t>
  </si>
  <si>
    <t>Frádráttur alls</t>
  </si>
  <si>
    <t>Útborgað alls</t>
  </si>
  <si>
    <t>Einingar</t>
  </si>
  <si>
    <t>Taxti</t>
  </si>
  <si>
    <t>Upphæð</t>
  </si>
  <si>
    <t>Lífeyrissjóður verslunarmanna 4%</t>
  </si>
  <si>
    <t>Bifreiðahlunnindi</t>
  </si>
  <si>
    <t>Bónus</t>
  </si>
  <si>
    <t>Orlof 10,64%</t>
  </si>
  <si>
    <t>Orlof af yfirvinnu 10,64%</t>
  </si>
  <si>
    <t>Meðlag</t>
  </si>
  <si>
    <t>Skilagrein lífeyrissjóður</t>
  </si>
  <si>
    <t>Nafn</t>
  </si>
  <si>
    <t>Kennitala</t>
  </si>
  <si>
    <t>Launagreiðandi :</t>
  </si>
  <si>
    <t>Viðtakandi :</t>
  </si>
  <si>
    <t>Húsi verslunarinnar</t>
  </si>
  <si>
    <t>103 Reykjavík</t>
  </si>
  <si>
    <t>kt. 540469-5879</t>
  </si>
  <si>
    <t>Iðgjald</t>
  </si>
  <si>
    <t>Samtals iðgjald launþega</t>
  </si>
  <si>
    <t>Samtals iðgjöld</t>
  </si>
  <si>
    <t>Skilagrein viðbótarlífeyrissjóður</t>
  </si>
  <si>
    <t>Allianz</t>
  </si>
  <si>
    <t>Skaftahlíð 24</t>
  </si>
  <si>
    <t>105 Reykjavík</t>
  </si>
  <si>
    <t>kt. 784591-5419</t>
  </si>
  <si>
    <t>Framlag launagreiðanda 2%</t>
  </si>
  <si>
    <t>Skilagrein staðgreiðslu</t>
  </si>
  <si>
    <t>Laun</t>
  </si>
  <si>
    <t>Lífeyrissjóður</t>
  </si>
  <si>
    <t>Ökustyrkur</t>
  </si>
  <si>
    <t>Bifr.hlunnindi</t>
  </si>
  <si>
    <t>Staðgreiðsla</t>
  </si>
  <si>
    <t>Framlag í lífeyrissjóð</t>
  </si>
  <si>
    <t>Stofn til tryggingargjalds</t>
  </si>
  <si>
    <t>Verslunarmannafélag Reykjavíkur</t>
  </si>
  <si>
    <t>kt. 560169-5889</t>
  </si>
  <si>
    <t>Félagsgjald</t>
  </si>
  <si>
    <t>Sjúkrasjóður</t>
  </si>
  <si>
    <t>Alls</t>
  </si>
  <si>
    <t>Innheimtustofnun sveitarfélaga</t>
  </si>
  <si>
    <t>Lágmúla 7</t>
  </si>
  <si>
    <t>108 Reykjavík</t>
  </si>
  <si>
    <t>kt. 458979-2589</t>
  </si>
  <si>
    <t>Skilagrein félagsgjöld</t>
  </si>
  <si>
    <t>Skilagrein meðlag</t>
  </si>
  <si>
    <t>Framlag launagreiðanda 8%</t>
  </si>
  <si>
    <t>Grunnupplýsingar</t>
  </si>
  <si>
    <t>Fyrirtæki :</t>
  </si>
  <si>
    <t xml:space="preserve"> </t>
  </si>
  <si>
    <t>Skattprósenta %</t>
  </si>
  <si>
    <t xml:space="preserve">Persónufrádráttur </t>
  </si>
  <si>
    <t>Útborgunartímabil</t>
  </si>
  <si>
    <t>Útborgunarmánuður</t>
  </si>
  <si>
    <t>Númer launaseðils</t>
  </si>
  <si>
    <t>Rykill</t>
  </si>
  <si>
    <t>Debet</t>
  </si>
  <si>
    <t>Kredit</t>
  </si>
  <si>
    <t>Bifr.styrkur</t>
  </si>
  <si>
    <t>mótr.bifr.hlunninda</t>
  </si>
  <si>
    <t>texti</t>
  </si>
  <si>
    <t>Færsludagsetning</t>
  </si>
  <si>
    <t>ógr. staðgr.</t>
  </si>
  <si>
    <t>Ógr laun</t>
  </si>
  <si>
    <t>ógr. meðlag</t>
  </si>
  <si>
    <t>Ógr. félagsgjald</t>
  </si>
  <si>
    <t>Mótframlag gjaldf</t>
  </si>
  <si>
    <t>Lífeyrissjóður mótframlag</t>
  </si>
  <si>
    <t>Mótframlag félagsgj</t>
  </si>
  <si>
    <t xml:space="preserve">Ógr. orlof </t>
  </si>
  <si>
    <t>Orlof í banka</t>
  </si>
  <si>
    <t>Orlof</t>
  </si>
  <si>
    <t>Bankanr.</t>
  </si>
  <si>
    <t>hbók</t>
  </si>
  <si>
    <t>rnúmer</t>
  </si>
  <si>
    <t>Ógr. lífsj.</t>
  </si>
  <si>
    <t>Mótfr.auka gjaldf</t>
  </si>
  <si>
    <t>Lífsj. aukalífsp.mótframlag</t>
  </si>
  <si>
    <t>Tryggingagjald %</t>
  </si>
  <si>
    <t>http://www.rsk.is/einstakl/stadgr/stadgr</t>
  </si>
  <si>
    <t>Heildarlaun</t>
  </si>
  <si>
    <t>Verslunarmannaf. Reykjavíkur 0,70%</t>
  </si>
  <si>
    <t>starfsmenntasjóður</t>
  </si>
  <si>
    <t>Endurhæfingasjoður</t>
  </si>
  <si>
    <t>Orlofssjóður</t>
  </si>
  <si>
    <t>Bókhald og kennsla ehf</t>
  </si>
  <si>
    <t>Brekkutanga 2</t>
  </si>
  <si>
    <t>270 Mosfellsbær</t>
  </si>
  <si>
    <t>Allianz viðbótarlífeyrissjóður 0%</t>
  </si>
  <si>
    <t>orlof/starfsm/endurh</t>
  </si>
  <si>
    <t>ógr. tryggingagjald</t>
  </si>
  <si>
    <t>Tryggingagj</t>
  </si>
  <si>
    <t>Tryggingagjald</t>
  </si>
  <si>
    <t>laun</t>
  </si>
  <si>
    <t>Útborgun laun</t>
  </si>
  <si>
    <t>Samtals til greiðslu</t>
  </si>
  <si>
    <t>510808-0530</t>
  </si>
  <si>
    <t>01.01.10-31.01.10</t>
  </si>
  <si>
    <t>FORSENDUR</t>
  </si>
  <si>
    <t xml:space="preserve">Slá inn í gula reitinn </t>
  </si>
  <si>
    <t>útsvarsprósentan :</t>
  </si>
  <si>
    <t>þrep A</t>
  </si>
  <si>
    <t>þrep B</t>
  </si>
  <si>
    <t>þrep C</t>
  </si>
  <si>
    <t>þrep D</t>
  </si>
  <si>
    <t>Hækkun</t>
  </si>
  <si>
    <t>(Persónu-afsláttur</t>
  </si>
  <si>
    <t>skatta</t>
  </si>
  <si>
    <t>Laun á mánuði:</t>
  </si>
  <si>
    <t>Hlutfall af tekjum</t>
  </si>
  <si>
    <t>í krónum</t>
  </si>
  <si>
    <t>í %</t>
  </si>
  <si>
    <t>Reiknuð staðgreiðsla</t>
  </si>
  <si>
    <t>Útreikningur</t>
  </si>
  <si>
    <t>Flýtileið</t>
  </si>
  <si>
    <t>Launaseðill 1</t>
  </si>
  <si>
    <t>Launaseðill 2</t>
  </si>
  <si>
    <t>Launaseðill 3</t>
  </si>
  <si>
    <t>Skilagreinar</t>
  </si>
  <si>
    <t>Viðbótarlífeyrissjóður</t>
  </si>
  <si>
    <t>Félagsgjöld</t>
  </si>
  <si>
    <t>Ógr. laun - bankaskilagrein</t>
  </si>
  <si>
    <t>Heim</t>
  </si>
  <si>
    <t>.ds</t>
  </si>
</sst>
</file>

<file path=xl/styles.xml><?xml version="1.0" encoding="utf-8"?>
<styleSheet xmlns="http://schemas.openxmlformats.org/spreadsheetml/2006/main">
  <numFmts count="2">
    <numFmt numFmtId="164" formatCode="mmmm/yyyy"/>
    <numFmt numFmtId="165" formatCode="dd/mm/yyyy"/>
  </numFmts>
  <fonts count="20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7"/>
      <color rgb="FF4E5050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indexed="81"/>
      <name val="Tahoma"/>
      <family val="2"/>
    </font>
    <font>
      <u/>
      <sz val="10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0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</cellStyleXfs>
  <cellXfs count="148">
    <xf numFmtId="0" fontId="0" fillId="0" borderId="0" xfId="0"/>
    <xf numFmtId="0" fontId="2" fillId="0" borderId="0" xfId="0" applyFont="1"/>
    <xf numFmtId="0" fontId="3" fillId="0" borderId="0" xfId="0" applyFont="1"/>
    <xf numFmtId="14" fontId="0" fillId="0" borderId="0" xfId="0" applyNumberFormat="1"/>
    <xf numFmtId="0" fontId="0" fillId="0" borderId="1" xfId="0" applyBorder="1"/>
    <xf numFmtId="0" fontId="0" fillId="0" borderId="0" xfId="0" applyAlignment="1">
      <alignment horizontal="right"/>
    </xf>
    <xf numFmtId="3" fontId="0" fillId="0" borderId="0" xfId="0" applyNumberFormat="1"/>
    <xf numFmtId="4" fontId="0" fillId="0" borderId="0" xfId="0" applyNumberFormat="1"/>
    <xf numFmtId="3" fontId="2" fillId="0" borderId="0" xfId="0" applyNumberFormat="1" applyFont="1"/>
    <xf numFmtId="3" fontId="0" fillId="0" borderId="1" xfId="0" applyNumberFormat="1" applyBorder="1"/>
    <xf numFmtId="0" fontId="2" fillId="0" borderId="0" xfId="0" applyFont="1" applyAlignment="1">
      <alignment horizontal="right"/>
    </xf>
    <xf numFmtId="0" fontId="0" fillId="0" borderId="0" xfId="0" applyBorder="1"/>
    <xf numFmtId="3" fontId="0" fillId="0" borderId="0" xfId="0" applyNumberFormat="1" applyBorder="1"/>
    <xf numFmtId="0" fontId="5" fillId="0" borderId="0" xfId="0" applyFont="1"/>
    <xf numFmtId="3" fontId="0" fillId="0" borderId="2" xfId="0" applyNumberFormat="1" applyBorder="1"/>
    <xf numFmtId="0" fontId="6" fillId="0" borderId="0" xfId="0" applyFont="1"/>
    <xf numFmtId="0" fontId="2" fillId="0" borderId="0" xfId="0" applyFont="1" applyBorder="1"/>
    <xf numFmtId="14" fontId="0" fillId="0" borderId="0" xfId="0" applyNumberFormat="1" applyAlignment="1">
      <alignment horizontal="right"/>
    </xf>
    <xf numFmtId="0" fontId="0" fillId="0" borderId="0" xfId="0" applyFill="1"/>
    <xf numFmtId="14" fontId="0" fillId="2" borderId="0" xfId="0" applyNumberFormat="1" applyFill="1" applyAlignment="1">
      <alignment horizontal="center"/>
    </xf>
    <xf numFmtId="164" fontId="2" fillId="0" borderId="0" xfId="0" quotePrefix="1" applyNumberFormat="1" applyFont="1"/>
    <xf numFmtId="164" fontId="0" fillId="0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8" fillId="0" borderId="0" xfId="0" applyNumberFormat="1" applyFont="1"/>
    <xf numFmtId="14" fontId="0" fillId="0" borderId="0" xfId="0" applyNumberFormat="1" applyAlignment="1">
      <alignment horizontal="center"/>
    </xf>
    <xf numFmtId="165" fontId="0" fillId="0" borderId="0" xfId="0" applyNumberFormat="1"/>
    <xf numFmtId="0" fontId="2" fillId="0" borderId="3" xfId="0" applyFont="1" applyBorder="1"/>
    <xf numFmtId="0" fontId="0" fillId="0" borderId="3" xfId="0" applyBorder="1"/>
    <xf numFmtId="3" fontId="0" fillId="0" borderId="3" xfId="0" applyNumberFormat="1" applyBorder="1"/>
    <xf numFmtId="0" fontId="0" fillId="0" borderId="3" xfId="0" applyBorder="1" applyAlignment="1">
      <alignment horizontal="center"/>
    </xf>
    <xf numFmtId="3" fontId="2" fillId="0" borderId="4" xfId="0" applyNumberFormat="1" applyFont="1" applyBorder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2" fillId="0" borderId="3" xfId="0" applyFont="1" applyBorder="1" applyAlignment="1">
      <alignment horizontal="center"/>
    </xf>
    <xf numFmtId="10" fontId="0" fillId="0" borderId="0" xfId="0" applyNumberFormat="1"/>
    <xf numFmtId="10" fontId="0" fillId="0" borderId="3" xfId="0" applyNumberFormat="1" applyBorder="1"/>
    <xf numFmtId="0" fontId="5" fillId="2" borderId="0" xfId="0" applyFont="1" applyFill="1"/>
    <xf numFmtId="3" fontId="0" fillId="3" borderId="0" xfId="0" applyNumberFormat="1" applyFill="1"/>
    <xf numFmtId="3" fontId="0" fillId="3" borderId="3" xfId="0" applyNumberFormat="1" applyFill="1" applyBorder="1"/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164" fontId="9" fillId="0" borderId="0" xfId="0" applyNumberFormat="1" applyFont="1" applyAlignment="1">
      <alignment horizontal="center"/>
    </xf>
    <xf numFmtId="3" fontId="0" fillId="0" borderId="0" xfId="0" applyNumberFormat="1" applyFill="1"/>
    <xf numFmtId="0" fontId="0" fillId="0" borderId="0" xfId="0" applyAlignment="1">
      <alignment horizontal="left"/>
    </xf>
    <xf numFmtId="3" fontId="0" fillId="0" borderId="1" xfId="0" applyNumberFormat="1" applyFill="1" applyBorder="1"/>
    <xf numFmtId="3" fontId="2" fillId="0" borderId="0" xfId="0" applyNumberFormat="1" applyFont="1" applyFill="1"/>
    <xf numFmtId="0" fontId="2" fillId="0" borderId="5" xfId="0" applyFont="1" applyBorder="1"/>
    <xf numFmtId="0" fontId="2" fillId="0" borderId="4" xfId="0" applyFont="1" applyBorder="1"/>
    <xf numFmtId="0" fontId="2" fillId="0" borderId="6" xfId="0" applyFont="1" applyBorder="1"/>
    <xf numFmtId="3" fontId="2" fillId="0" borderId="7" xfId="0" applyNumberFormat="1" applyFont="1" applyBorder="1"/>
    <xf numFmtId="3" fontId="0" fillId="4" borderId="0" xfId="0" applyNumberFormat="1" applyFill="1"/>
    <xf numFmtId="17" fontId="1" fillId="2" borderId="0" xfId="0" applyNumberFormat="1" applyFont="1" applyFill="1" applyAlignment="1">
      <alignment horizontal="center"/>
    </xf>
    <xf numFmtId="0" fontId="12" fillId="5" borderId="0" xfId="0" applyFont="1" applyFill="1"/>
    <xf numFmtId="0" fontId="12" fillId="3" borderId="0" xfId="0" applyFont="1" applyFill="1" applyAlignment="1">
      <alignment horizontal="center"/>
    </xf>
    <xf numFmtId="0" fontId="15" fillId="0" borderId="0" xfId="0" applyFont="1"/>
    <xf numFmtId="0" fontId="0" fillId="5" borderId="13" xfId="0" applyFill="1" applyBorder="1"/>
    <xf numFmtId="3" fontId="16" fillId="5" borderId="14" xfId="0" applyNumberFormat="1" applyFont="1" applyFill="1" applyBorder="1" applyAlignment="1">
      <alignment horizontal="center" wrapText="1"/>
    </xf>
    <xf numFmtId="10" fontId="11" fillId="5" borderId="15" xfId="1" applyNumberFormat="1" applyFont="1" applyFill="1" applyBorder="1" applyAlignment="1">
      <alignment horizontal="center"/>
    </xf>
    <xf numFmtId="10" fontId="11" fillId="0" borderId="0" xfId="1" applyNumberFormat="1" applyFont="1" applyBorder="1" applyAlignment="1">
      <alignment horizontal="center"/>
    </xf>
    <xf numFmtId="3" fontId="16" fillId="5" borderId="16" xfId="0" applyNumberFormat="1" applyFont="1" applyFill="1" applyBorder="1" applyAlignment="1">
      <alignment horizontal="center" wrapText="1"/>
    </xf>
    <xf numFmtId="10" fontId="11" fillId="5" borderId="17" xfId="1" applyNumberFormat="1" applyFont="1" applyFill="1" applyBorder="1" applyAlignment="1">
      <alignment horizontal="center"/>
    </xf>
    <xf numFmtId="0" fontId="0" fillId="5" borderId="16" xfId="0" applyFill="1" applyBorder="1"/>
    <xf numFmtId="3" fontId="16" fillId="5" borderId="0" xfId="0" applyNumberFormat="1" applyFont="1" applyFill="1" applyBorder="1" applyAlignment="1">
      <alignment horizontal="center" wrapText="1"/>
    </xf>
    <xf numFmtId="3" fontId="16" fillId="5" borderId="18" xfId="0" applyNumberFormat="1" applyFont="1" applyFill="1" applyBorder="1" applyAlignment="1">
      <alignment horizontal="center" wrapText="1"/>
    </xf>
    <xf numFmtId="10" fontId="11" fillId="5" borderId="19" xfId="1" applyNumberFormat="1" applyFont="1" applyFill="1" applyBorder="1" applyAlignment="1">
      <alignment horizontal="center"/>
    </xf>
    <xf numFmtId="0" fontId="0" fillId="5" borderId="18" xfId="0" applyFill="1" applyBorder="1"/>
    <xf numFmtId="3" fontId="16" fillId="5" borderId="20" xfId="0" applyNumberFormat="1" applyFont="1" applyFill="1" applyBorder="1" applyAlignment="1">
      <alignment horizontal="center" wrapText="1"/>
    </xf>
    <xf numFmtId="0" fontId="0" fillId="0" borderId="16" xfId="0" applyFill="1" applyBorder="1"/>
    <xf numFmtId="3" fontId="16" fillId="0" borderId="0" xfId="0" applyNumberFormat="1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0" fontId="16" fillId="0" borderId="23" xfId="0" applyFont="1" applyBorder="1" applyAlignment="1">
      <alignment horizontal="center" wrapText="1"/>
    </xf>
    <xf numFmtId="0" fontId="0" fillId="0" borderId="24" xfId="0" applyBorder="1"/>
    <xf numFmtId="0" fontId="16" fillId="0" borderId="24" xfId="0" applyFont="1" applyBorder="1" applyAlignment="1">
      <alignment horizontal="center" wrapText="1"/>
    </xf>
    <xf numFmtId="0" fontId="16" fillId="0" borderId="25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26" xfId="0" applyFont="1" applyBorder="1" applyAlignment="1">
      <alignment horizontal="center" wrapText="1"/>
    </xf>
    <xf numFmtId="10" fontId="16" fillId="0" borderId="27" xfId="0" applyNumberFormat="1" applyFont="1" applyBorder="1" applyAlignment="1">
      <alignment horizontal="center" wrapText="1"/>
    </xf>
    <xf numFmtId="10" fontId="16" fillId="0" borderId="3" xfId="0" applyNumberFormat="1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6" fillId="0" borderId="28" xfId="0" applyFont="1" applyBorder="1" applyAlignment="1">
      <alignment horizontal="center" wrapText="1"/>
    </xf>
    <xf numFmtId="0" fontId="16" fillId="0" borderId="27" xfId="0" applyFont="1" applyBorder="1" applyAlignment="1">
      <alignment horizontal="center" wrapText="1"/>
    </xf>
    <xf numFmtId="0" fontId="16" fillId="0" borderId="29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16" fillId="0" borderId="30" xfId="0" applyFont="1" applyBorder="1" applyAlignment="1">
      <alignment horizontal="center" wrapText="1"/>
    </xf>
    <xf numFmtId="10" fontId="16" fillId="0" borderId="31" xfId="0" applyNumberFormat="1" applyFont="1" applyBorder="1" applyAlignment="1">
      <alignment horizontal="center" wrapText="1"/>
    </xf>
    <xf numFmtId="10" fontId="16" fillId="0" borderId="32" xfId="0" applyNumberFormat="1" applyFont="1" applyBorder="1" applyAlignment="1">
      <alignment horizontal="center" wrapText="1"/>
    </xf>
    <xf numFmtId="3" fontId="16" fillId="5" borderId="32" xfId="0" applyNumberFormat="1" applyFont="1" applyFill="1" applyBorder="1" applyAlignment="1">
      <alignment horizontal="center" wrapText="1"/>
    </xf>
    <xf numFmtId="0" fontId="16" fillId="0" borderId="33" xfId="0" applyFont="1" applyBorder="1" applyAlignment="1">
      <alignment horizontal="center" wrapText="1"/>
    </xf>
    <xf numFmtId="0" fontId="16" fillId="0" borderId="34" xfId="0" applyFont="1" applyBorder="1" applyAlignment="1">
      <alignment horizontal="center" wrapText="1"/>
    </xf>
    <xf numFmtId="0" fontId="16" fillId="0" borderId="19" xfId="0" applyFont="1" applyBorder="1" applyAlignment="1">
      <alignment horizontal="center" wrapText="1"/>
    </xf>
    <xf numFmtId="3" fontId="17" fillId="3" borderId="26" xfId="0" applyNumberFormat="1" applyFont="1" applyFill="1" applyBorder="1" applyAlignment="1">
      <alignment horizontal="center" wrapText="1"/>
    </xf>
    <xf numFmtId="3" fontId="17" fillId="0" borderId="16" xfId="0" applyNumberFormat="1" applyFont="1" applyBorder="1" applyAlignment="1">
      <alignment horizontal="right" wrapText="1"/>
    </xf>
    <xf numFmtId="3" fontId="17" fillId="0" borderId="0" xfId="0" applyNumberFormat="1" applyFont="1" applyBorder="1" applyAlignment="1">
      <alignment horizontal="right" wrapText="1"/>
    </xf>
    <xf numFmtId="10" fontId="17" fillId="0" borderId="17" xfId="1" applyNumberFormat="1" applyFont="1" applyBorder="1" applyAlignment="1">
      <alignment horizontal="right" wrapText="1"/>
    </xf>
    <xf numFmtId="3" fontId="17" fillId="0" borderId="29" xfId="0" applyNumberFormat="1" applyFont="1" applyBorder="1" applyAlignment="1">
      <alignment horizontal="right" wrapText="1"/>
    </xf>
    <xf numFmtId="10" fontId="17" fillId="0" borderId="17" xfId="0" applyNumberFormat="1" applyFont="1" applyBorder="1" applyAlignment="1">
      <alignment horizontal="right" wrapText="1"/>
    </xf>
    <xf numFmtId="0" fontId="12" fillId="0" borderId="0" xfId="0" applyFont="1"/>
    <xf numFmtId="3" fontId="1" fillId="0" borderId="26" xfId="0" applyNumberFormat="1" applyFont="1" applyFill="1" applyBorder="1" applyAlignment="1">
      <alignment horizontal="center" wrapText="1"/>
    </xf>
    <xf numFmtId="3" fontId="16" fillId="0" borderId="16" xfId="0" applyNumberFormat="1" applyFont="1" applyBorder="1" applyAlignment="1">
      <alignment horizontal="right" wrapText="1"/>
    </xf>
    <xf numFmtId="3" fontId="16" fillId="0" borderId="0" xfId="0" applyNumberFormat="1" applyFont="1" applyBorder="1" applyAlignment="1">
      <alignment horizontal="right" wrapText="1"/>
    </xf>
    <xf numFmtId="10" fontId="16" fillId="0" borderId="17" xfId="1" applyNumberFormat="1" applyFont="1" applyBorder="1" applyAlignment="1">
      <alignment horizontal="right" wrapText="1"/>
    </xf>
    <xf numFmtId="3" fontId="16" fillId="0" borderId="29" xfId="0" applyNumberFormat="1" applyFont="1" applyBorder="1" applyAlignment="1">
      <alignment horizontal="right" wrapText="1"/>
    </xf>
    <xf numFmtId="10" fontId="16" fillId="0" borderId="17" xfId="0" applyNumberFormat="1" applyFont="1" applyBorder="1" applyAlignment="1">
      <alignment horizontal="right" wrapText="1"/>
    </xf>
    <xf numFmtId="3" fontId="16" fillId="0" borderId="26" xfId="0" applyNumberFormat="1" applyFont="1" applyBorder="1" applyAlignment="1">
      <alignment horizontal="center" wrapText="1"/>
    </xf>
    <xf numFmtId="3" fontId="16" fillId="0" borderId="26" xfId="0" applyNumberFormat="1" applyFont="1" applyFill="1" applyBorder="1" applyAlignment="1">
      <alignment horizontal="center" wrapText="1"/>
    </xf>
    <xf numFmtId="3" fontId="16" fillId="0" borderId="16" xfId="0" applyNumberFormat="1" applyFont="1" applyFill="1" applyBorder="1" applyAlignment="1">
      <alignment horizontal="right" wrapText="1"/>
    </xf>
    <xf numFmtId="3" fontId="16" fillId="0" borderId="0" xfId="0" applyNumberFormat="1" applyFont="1" applyFill="1" applyBorder="1" applyAlignment="1">
      <alignment horizontal="right" wrapText="1"/>
    </xf>
    <xf numFmtId="10" fontId="16" fillId="0" borderId="17" xfId="1" applyNumberFormat="1" applyFont="1" applyFill="1" applyBorder="1" applyAlignment="1">
      <alignment horizontal="right" wrapText="1"/>
    </xf>
    <xf numFmtId="3" fontId="16" fillId="0" borderId="29" xfId="0" applyNumberFormat="1" applyFont="1" applyFill="1" applyBorder="1" applyAlignment="1">
      <alignment horizontal="right" wrapText="1"/>
    </xf>
    <xf numFmtId="3" fontId="16" fillId="7" borderId="26" xfId="0" applyNumberFormat="1" applyFont="1" applyFill="1" applyBorder="1" applyAlignment="1">
      <alignment horizontal="center" wrapText="1"/>
    </xf>
    <xf numFmtId="3" fontId="16" fillId="7" borderId="16" xfId="0" applyNumberFormat="1" applyFont="1" applyFill="1" applyBorder="1" applyAlignment="1">
      <alignment horizontal="right" wrapText="1"/>
    </xf>
    <xf numFmtId="3" fontId="16" fillId="7" borderId="0" xfId="0" applyNumberFormat="1" applyFont="1" applyFill="1" applyBorder="1" applyAlignment="1">
      <alignment horizontal="right" wrapText="1"/>
    </xf>
    <xf numFmtId="10" fontId="16" fillId="7" borderId="17" xfId="1" applyNumberFormat="1" applyFont="1" applyFill="1" applyBorder="1" applyAlignment="1">
      <alignment horizontal="right" wrapText="1"/>
    </xf>
    <xf numFmtId="3" fontId="16" fillId="7" borderId="29" xfId="0" applyNumberFormat="1" applyFont="1" applyFill="1" applyBorder="1" applyAlignment="1">
      <alignment horizontal="right" wrapText="1"/>
    </xf>
    <xf numFmtId="10" fontId="16" fillId="7" borderId="17" xfId="0" applyNumberFormat="1" applyFont="1" applyFill="1" applyBorder="1" applyAlignment="1">
      <alignment horizontal="right" wrapText="1"/>
    </xf>
    <xf numFmtId="3" fontId="16" fillId="0" borderId="18" xfId="0" applyNumberFormat="1" applyFont="1" applyBorder="1" applyAlignment="1">
      <alignment horizontal="right" wrapText="1"/>
    </xf>
    <xf numFmtId="3" fontId="16" fillId="0" borderId="20" xfId="0" applyNumberFormat="1" applyFont="1" applyBorder="1" applyAlignment="1">
      <alignment horizontal="right" wrapText="1"/>
    </xf>
    <xf numFmtId="10" fontId="16" fillId="0" borderId="19" xfId="1" applyNumberFormat="1" applyFont="1" applyBorder="1" applyAlignment="1">
      <alignment horizontal="right" wrapText="1"/>
    </xf>
    <xf numFmtId="3" fontId="16" fillId="0" borderId="34" xfId="0" applyNumberFormat="1" applyFont="1" applyBorder="1" applyAlignment="1">
      <alignment horizontal="right" wrapText="1"/>
    </xf>
    <xf numFmtId="10" fontId="16" fillId="0" borderId="19" xfId="0" applyNumberFormat="1" applyFont="1" applyBorder="1" applyAlignment="1">
      <alignment horizontal="right" wrapText="1"/>
    </xf>
    <xf numFmtId="0" fontId="1" fillId="0" borderId="0" xfId="0" applyFont="1"/>
    <xf numFmtId="3" fontId="17" fillId="3" borderId="0" xfId="0" applyNumberFormat="1" applyFont="1" applyFill="1" applyBorder="1" applyAlignment="1">
      <alignment horizontal="right" wrapText="1"/>
    </xf>
    <xf numFmtId="0" fontId="19" fillId="0" borderId="0" xfId="2" applyFill="1" applyAlignment="1" applyProtection="1"/>
    <xf numFmtId="0" fontId="19" fillId="0" borderId="0" xfId="2" applyAlignment="1" applyProtection="1"/>
    <xf numFmtId="0" fontId="9" fillId="0" borderId="3" xfId="0" applyFont="1" applyFill="1" applyBorder="1"/>
    <xf numFmtId="10" fontId="0" fillId="0" borderId="3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1" fillId="3" borderId="0" xfId="0" applyFont="1" applyFill="1"/>
    <xf numFmtId="0" fontId="5" fillId="3" borderId="0" xfId="0" applyFont="1" applyFill="1"/>
    <xf numFmtId="0" fontId="0" fillId="3" borderId="0" xfId="0" applyFill="1" applyAlignment="1">
      <alignment horizontal="right"/>
    </xf>
    <xf numFmtId="0" fontId="1" fillId="3" borderId="0" xfId="0" applyFont="1" applyFill="1" applyAlignment="1">
      <alignment horizontal="right"/>
    </xf>
    <xf numFmtId="4" fontId="1" fillId="0" borderId="0" xfId="0" applyNumberFormat="1" applyFont="1"/>
    <xf numFmtId="164" fontId="2" fillId="0" borderId="0" xfId="0" quotePrefix="1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2" fillId="5" borderId="8" xfId="0" applyFont="1" applyFill="1" applyBorder="1" applyAlignment="1">
      <alignment horizontal="center"/>
    </xf>
    <xf numFmtId="0" fontId="12" fillId="5" borderId="9" xfId="0" applyFont="1" applyFill="1" applyBorder="1" applyAlignment="1">
      <alignment horizontal="center"/>
    </xf>
    <xf numFmtId="0" fontId="12" fillId="5" borderId="10" xfId="0" applyFont="1" applyFill="1" applyBorder="1" applyAlignment="1">
      <alignment horizontal="center"/>
    </xf>
    <xf numFmtId="0" fontId="12" fillId="5" borderId="11" xfId="0" applyFont="1" applyFill="1" applyBorder="1" applyAlignment="1">
      <alignment horizontal="center"/>
    </xf>
    <xf numFmtId="0" fontId="12" fillId="5" borderId="12" xfId="0" applyFont="1" applyFill="1" applyBorder="1" applyAlignment="1">
      <alignment horizontal="center"/>
    </xf>
    <xf numFmtId="0" fontId="17" fillId="6" borderId="22" xfId="0" applyFont="1" applyFill="1" applyBorder="1" applyAlignment="1">
      <alignment horizontal="center" wrapText="1"/>
    </xf>
    <xf numFmtId="0" fontId="17" fillId="6" borderId="23" xfId="0" applyFont="1" applyFill="1" applyBorder="1" applyAlignment="1">
      <alignment horizont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525780</xdr:colOff>
      <xdr:row>0</xdr:row>
      <xdr:rowOff>45720</xdr:rowOff>
    </xdr:from>
    <xdr:to>
      <xdr:col>5</xdr:col>
      <xdr:colOff>1950720</xdr:colOff>
      <xdr:row>1</xdr:row>
      <xdr:rowOff>137160</xdr:rowOff>
    </xdr:to>
    <xdr:sp macro="[0]!hreinsalaunþega" textlink="">
      <xdr:nvSpPr>
        <xdr:cNvPr id="2" name="Round Diagonal Corner Rectangle 1"/>
        <xdr:cNvSpPr/>
      </xdr:nvSpPr>
      <xdr:spPr>
        <a:xfrm>
          <a:off x="5341620" y="45720"/>
          <a:ext cx="1424940" cy="259080"/>
        </a:xfrm>
        <a:prstGeom prst="round2DiagRect">
          <a:avLst/>
        </a:prstGeom>
        <a:gradFill flip="none" rotWithShape="1">
          <a:gsLst>
            <a:gs pos="0">
              <a:schemeClr val="tx2">
                <a:lumMod val="60000"/>
                <a:lumOff val="40000"/>
              </a:schemeClr>
            </a:gs>
            <a:gs pos="25000">
              <a:srgbClr val="21D6E0"/>
            </a:gs>
            <a:gs pos="75000">
              <a:srgbClr val="0087E6"/>
            </a:gs>
            <a:gs pos="100000">
              <a:srgbClr val="005CBF"/>
            </a:gs>
          </a:gsLst>
          <a:lin ang="5400000" scaled="0"/>
          <a:tileRect/>
        </a:gradFill>
        <a:ln>
          <a:solidFill>
            <a:schemeClr val="tx2">
              <a:lumMod val="60000"/>
              <a:lumOff val="40000"/>
            </a:schemeClr>
          </a:solidFill>
        </a:ln>
        <a:effectLst>
          <a:outerShdw blurRad="50800" dist="50800" dir="5400000" algn="ctr" rotWithShape="0">
            <a:schemeClr val="tx2">
              <a:lumMod val="60000"/>
              <a:lumOff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s-IS" sz="1100" b="0" i="0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Hreinsa</a:t>
          </a:r>
          <a:r>
            <a:rPr lang="is-IS" sz="1100" b="0" i="0"/>
            <a:t> launþega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F27"/>
  <sheetViews>
    <sheetView zoomScaleNormal="100" workbookViewId="0">
      <selection activeCell="D20" sqref="D20"/>
    </sheetView>
  </sheetViews>
  <sheetFormatPr defaultRowHeight="12.75"/>
  <cols>
    <col min="2" max="2" width="17.42578125" customWidth="1"/>
    <col min="3" max="3" width="22.140625" customWidth="1"/>
    <col min="4" max="4" width="12.85546875" customWidth="1"/>
    <col min="6" max="6" width="29.28515625" customWidth="1"/>
  </cols>
  <sheetData>
    <row r="2" spans="2:6" ht="18">
      <c r="B2" s="24" t="s">
        <v>66</v>
      </c>
    </row>
    <row r="6" spans="2:6">
      <c r="B6" s="23" t="s">
        <v>67</v>
      </c>
      <c r="C6" s="41" t="s">
        <v>104</v>
      </c>
      <c r="D6" s="18"/>
      <c r="E6" s="18"/>
      <c r="F6" s="18"/>
    </row>
    <row r="7" spans="2:6" ht="15.75">
      <c r="C7" s="41" t="s">
        <v>115</v>
      </c>
      <c r="D7" s="18"/>
      <c r="E7" s="18"/>
      <c r="F7" s="130" t="s">
        <v>133</v>
      </c>
    </row>
    <row r="8" spans="2:6">
      <c r="C8" s="41" t="s">
        <v>105</v>
      </c>
      <c r="D8" s="18"/>
      <c r="E8" s="18"/>
      <c r="F8" s="128" t="s">
        <v>134</v>
      </c>
    </row>
    <row r="9" spans="2:6">
      <c r="C9" s="41" t="s">
        <v>106</v>
      </c>
      <c r="D9" s="18"/>
      <c r="E9" s="18"/>
      <c r="F9" s="128" t="s">
        <v>135</v>
      </c>
    </row>
    <row r="10" spans="2:6">
      <c r="B10" t="s">
        <v>68</v>
      </c>
      <c r="F10" s="128" t="s">
        <v>136</v>
      </c>
    </row>
    <row r="12" spans="2:6">
      <c r="B12" t="s">
        <v>71</v>
      </c>
      <c r="C12" s="56" t="s">
        <v>116</v>
      </c>
      <c r="F12" s="30" t="s">
        <v>137</v>
      </c>
    </row>
    <row r="13" spans="2:6">
      <c r="B13" t="s">
        <v>1</v>
      </c>
      <c r="C13" s="19">
        <v>40209</v>
      </c>
      <c r="F13" s="129" t="s">
        <v>48</v>
      </c>
    </row>
    <row r="14" spans="2:6">
      <c r="B14" t="s">
        <v>72</v>
      </c>
      <c r="C14" s="21">
        <f>utdagur-1</f>
        <v>40208</v>
      </c>
      <c r="F14" s="129" t="s">
        <v>138</v>
      </c>
    </row>
    <row r="15" spans="2:6">
      <c r="B15" t="s">
        <v>73</v>
      </c>
      <c r="C15" s="22">
        <v>1</v>
      </c>
      <c r="F15" s="129" t="s">
        <v>139</v>
      </c>
    </row>
    <row r="16" spans="2:6">
      <c r="F16" s="129" t="s">
        <v>28</v>
      </c>
    </row>
    <row r="17" spans="2:6">
      <c r="B17" t="s">
        <v>69</v>
      </c>
      <c r="C17" s="131">
        <f>24.1%+13.12%</f>
        <v>0.37219999999999998</v>
      </c>
      <c r="D17" s="132">
        <v>250000</v>
      </c>
      <c r="F17" s="129" t="s">
        <v>51</v>
      </c>
    </row>
    <row r="18" spans="2:6">
      <c r="C18" s="131">
        <f>27%+13.12%</f>
        <v>0.4012</v>
      </c>
      <c r="D18" s="132">
        <v>300000</v>
      </c>
      <c r="F18" s="129" t="s">
        <v>90</v>
      </c>
    </row>
    <row r="19" spans="2:6">
      <c r="C19" s="131">
        <f>33%+13.12%</f>
        <v>0.4612</v>
      </c>
      <c r="D19" s="132">
        <v>450000</v>
      </c>
      <c r="F19" s="129" t="s">
        <v>140</v>
      </c>
    </row>
    <row r="20" spans="2:6">
      <c r="C20" s="18"/>
      <c r="D20" s="18"/>
    </row>
    <row r="21" spans="2:6">
      <c r="B21" t="s">
        <v>70</v>
      </c>
      <c r="C21" s="132">
        <v>44205</v>
      </c>
    </row>
    <row r="22" spans="2:6">
      <c r="B22" t="s">
        <v>97</v>
      </c>
      <c r="C22" s="131">
        <v>8.6499999999999994E-2</v>
      </c>
    </row>
    <row r="27" spans="2:6">
      <c r="B27" t="s">
        <v>98</v>
      </c>
    </row>
  </sheetData>
  <phoneticPr fontId="4" type="noConversion"/>
  <hyperlinks>
    <hyperlink ref="F8" location="'Launaseðill 1'!A1" display="Launaseðill 1"/>
    <hyperlink ref="F9" location="'Launaseðill 2'!A1" display="Launaseðill 2"/>
    <hyperlink ref="F10" location="'Launaseðill 3'!A1" display="Launaseðill 3"/>
    <hyperlink ref="F13" location="Lífeyrissjóður!A1" display="Lífeyrissjóður"/>
    <hyperlink ref="F14" location="Viðbótarlífeyrissjóður!A1" display="Viðbótarlífeyrissjóður"/>
    <hyperlink ref="F15" location="Félagsgjöld!A1" display="Félagsgjöld"/>
    <hyperlink ref="F16" location="Meðlag!A1" display="Meðlag"/>
    <hyperlink ref="F17" location="Staðgreiðsla!A1" display="Staðgreiðsla"/>
    <hyperlink ref="F18" location="'orlof í banka'!A1" display="Orlof"/>
    <hyperlink ref="F19" location="'Ógr. laun'!A1" display="Ógr. laun - bankaskilagrein"/>
  </hyperlinks>
  <pageMargins left="0.75" right="0.75" top="1" bottom="1" header="0.5" footer="0.5"/>
  <pageSetup paperSize="9" orientation="portrait" horizontalDpi="4294967293" verticalDpi="4294967293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H25"/>
  <sheetViews>
    <sheetView workbookViewId="0">
      <selection activeCell="H1" sqref="H1"/>
    </sheetView>
  </sheetViews>
  <sheetFormatPr defaultRowHeight="12.75"/>
  <cols>
    <col min="1" max="1" width="21.140625" bestFit="1" customWidth="1"/>
    <col min="2" max="2" width="11.7109375" bestFit="1" customWidth="1"/>
    <col min="3" max="3" width="9.140625" bestFit="1" customWidth="1"/>
    <col min="4" max="4" width="11.85546875" bestFit="1" customWidth="1"/>
    <col min="5" max="5" width="10.85546875" bestFit="1" customWidth="1"/>
    <col min="6" max="6" width="12.85546875" bestFit="1" customWidth="1"/>
    <col min="7" max="7" width="12.7109375" bestFit="1" customWidth="1"/>
  </cols>
  <sheetData>
    <row r="1" spans="1:8" ht="19.5">
      <c r="A1" s="2" t="s">
        <v>46</v>
      </c>
      <c r="E1" s="138">
        <f>utmanudur</f>
        <v>40208</v>
      </c>
      <c r="F1" s="138"/>
      <c r="H1" s="129" t="s">
        <v>141</v>
      </c>
    </row>
    <row r="3" spans="1:8">
      <c r="D3" s="13" t="s">
        <v>68</v>
      </c>
    </row>
    <row r="4" spans="1:8">
      <c r="A4" s="1" t="str">
        <f>ft_heiti</f>
        <v>Bókhald og kennsla ehf</v>
      </c>
    </row>
    <row r="5" spans="1:8">
      <c r="A5" t="str">
        <f>ft_kt</f>
        <v>510808-0530</v>
      </c>
    </row>
    <row r="6" spans="1:8">
      <c r="A6" t="str">
        <f>ft_heimili</f>
        <v>Brekkutanga 2</v>
      </c>
    </row>
    <row r="7" spans="1:8">
      <c r="A7" t="str">
        <f>ft_stadur</f>
        <v>270 Mosfellsbær</v>
      </c>
    </row>
    <row r="12" spans="1:8">
      <c r="A12" s="51" t="s">
        <v>30</v>
      </c>
      <c r="B12" s="52" t="s">
        <v>31</v>
      </c>
      <c r="C12" s="52" t="s">
        <v>47</v>
      </c>
      <c r="D12" s="53" t="s">
        <v>50</v>
      </c>
      <c r="E12" s="52" t="s">
        <v>49</v>
      </c>
      <c r="F12" s="52" t="s">
        <v>48</v>
      </c>
      <c r="G12" s="52" t="s">
        <v>51</v>
      </c>
    </row>
    <row r="13" spans="1:8">
      <c r="A13">
        <f>'Launaseðill 1'!A7</f>
        <v>0</v>
      </c>
      <c r="B13" s="5">
        <f>'Launaseðill 1'!E7</f>
        <v>0</v>
      </c>
      <c r="C13" s="55">
        <f>SUM('Launaseðill 1'!E15:E17)+'Launaseðill 1'!E21+'Launaseðill 1'!E21+'Launaseðill 1'!E22</f>
        <v>245000</v>
      </c>
      <c r="D13" s="55">
        <f>+'Launaseðill 1'!E20</f>
        <v>0</v>
      </c>
      <c r="E13" s="6">
        <f>+'Launaseðill 1'!E18</f>
        <v>0</v>
      </c>
      <c r="F13" s="55">
        <f>+'Launaseðill 1'!E32</f>
        <v>9800</v>
      </c>
      <c r="G13" s="55">
        <f>+'Launaseðill 1'!E43</f>
        <v>43336.439999999988</v>
      </c>
    </row>
    <row r="14" spans="1:8">
      <c r="A14">
        <f>'Launaseðill 2'!A7</f>
        <v>0</v>
      </c>
      <c r="B14" s="17">
        <f>'Launaseðill 2'!E7</f>
        <v>0</v>
      </c>
      <c r="C14" s="55">
        <f>SUM('Launaseðill 2'!E15:E17)+'Launaseðill 2'!E21+'Launaseðill 2'!E22+'Launaseðill 2'!E21</f>
        <v>0</v>
      </c>
      <c r="D14" s="6">
        <f>+'Launaseðill 2'!E20</f>
        <v>0</v>
      </c>
      <c r="F14" s="55">
        <f>+'Launaseðill 2'!E32</f>
        <v>0</v>
      </c>
      <c r="G14" s="55">
        <f>+'Launaseðill 2'!E43</f>
        <v>0</v>
      </c>
    </row>
    <row r="15" spans="1:8">
      <c r="A15">
        <f>'Launaseðill 3'!A7</f>
        <v>0</v>
      </c>
      <c r="B15" s="5">
        <f>'Launaseðill 3'!E7</f>
        <v>0</v>
      </c>
      <c r="C15" s="6">
        <f>SUM('Launaseðill 3'!E15:E17)+'Launaseðill 3'!E21+'Launaseðill 3'!E22</f>
        <v>0</v>
      </c>
      <c r="F15" s="6">
        <f>+'Launaseðill 3'!E32</f>
        <v>0</v>
      </c>
      <c r="G15" s="6">
        <f>+'Launaseðill 3'!E43</f>
        <v>0</v>
      </c>
    </row>
    <row r="18" spans="1:7" ht="13.5" thickBot="1">
      <c r="C18" s="14">
        <f>SUM(C13:C17)</f>
        <v>245000</v>
      </c>
      <c r="D18" s="14">
        <f>SUM(D13:D17)</f>
        <v>0</v>
      </c>
      <c r="E18" s="14">
        <f>SUM(E13:E17)</f>
        <v>0</v>
      </c>
      <c r="F18" s="14">
        <f>SUM(F13:F17)</f>
        <v>9800</v>
      </c>
      <c r="G18" s="14">
        <f>SUM(G13:G17)</f>
        <v>43336.439999999988</v>
      </c>
    </row>
    <row r="19" spans="1:7" ht="13.5" thickTop="1"/>
    <row r="20" spans="1:7">
      <c r="A20" s="15" t="s">
        <v>53</v>
      </c>
    </row>
    <row r="21" spans="1:7">
      <c r="A21" t="s">
        <v>47</v>
      </c>
      <c r="B21" s="6">
        <f>+'Launaseðill 1'!E25+'Launaseðill 2'!E24+'Launaseðill 3'!E24</f>
        <v>245000</v>
      </c>
      <c r="C21" s="6"/>
      <c r="D21" s="6"/>
      <c r="F21" s="6"/>
    </row>
    <row r="22" spans="1:7">
      <c r="A22" t="s">
        <v>52</v>
      </c>
      <c r="B22" s="55">
        <f>+Lífeyrissjóður!C18+Viðbótarlífeyrissjóður!C18</f>
        <v>19600</v>
      </c>
      <c r="D22" s="6"/>
    </row>
    <row r="23" spans="1:7">
      <c r="B23" s="6">
        <f>SUM(B21:B22)</f>
        <v>264600</v>
      </c>
    </row>
    <row r="24" spans="1:7" ht="13.5" thickBot="1">
      <c r="D24" s="13" t="s">
        <v>114</v>
      </c>
    </row>
    <row r="25" spans="1:7" ht="13.5" thickBot="1">
      <c r="A25" t="str">
        <f xml:space="preserve"> "Tryggingargjald  " &amp; tryggingagjald*100 &amp; "%"</f>
        <v>Tryggingargjald  8,65%</v>
      </c>
      <c r="B25" s="55">
        <f>+B23*tryggingagjald</f>
        <v>22887.899999999998</v>
      </c>
      <c r="D25" s="54">
        <f>B25+G18</f>
        <v>66224.339999999982</v>
      </c>
    </row>
  </sheetData>
  <mergeCells count="1">
    <mergeCell ref="E1:F1"/>
  </mergeCells>
  <phoneticPr fontId="4" type="noConversion"/>
  <hyperlinks>
    <hyperlink ref="H1" location="Grunnupplýsingar!A1" display="Heim"/>
  </hyperlinks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H19"/>
  <sheetViews>
    <sheetView workbookViewId="0">
      <selection activeCell="H1" sqref="H1:H2"/>
    </sheetView>
  </sheetViews>
  <sheetFormatPr defaultRowHeight="12.75"/>
  <cols>
    <col min="1" max="1" width="21.140625" bestFit="1" customWidth="1"/>
    <col min="2" max="2" width="11.7109375" bestFit="1" customWidth="1"/>
    <col min="3" max="3" width="9.140625" bestFit="1" customWidth="1"/>
    <col min="4" max="4" width="4" customWidth="1"/>
    <col min="5" max="5" width="10.85546875" bestFit="1" customWidth="1"/>
    <col min="6" max="6" width="12.85546875" bestFit="1" customWidth="1"/>
    <col min="7" max="7" width="12.7109375" bestFit="1" customWidth="1"/>
  </cols>
  <sheetData>
    <row r="1" spans="1:8" ht="19.5">
      <c r="A1" s="2" t="s">
        <v>89</v>
      </c>
      <c r="E1" s="138">
        <f>utmanudur</f>
        <v>40208</v>
      </c>
      <c r="F1" s="138"/>
      <c r="H1" s="129" t="s">
        <v>141</v>
      </c>
    </row>
    <row r="4" spans="1:8">
      <c r="A4" s="1" t="str">
        <f>ft_heiti</f>
        <v>Bókhald og kennsla ehf</v>
      </c>
    </row>
    <row r="5" spans="1:8">
      <c r="A5" t="str">
        <f>ft_kt</f>
        <v>510808-0530</v>
      </c>
    </row>
    <row r="6" spans="1:8">
      <c r="A6" t="str">
        <f>ft_heimili</f>
        <v>Brekkutanga 2</v>
      </c>
    </row>
    <row r="7" spans="1:8">
      <c r="A7" t="str">
        <f>ft_stadur</f>
        <v>270 Mosfellsbær</v>
      </c>
    </row>
    <row r="12" spans="1:8">
      <c r="A12" s="1" t="s">
        <v>30</v>
      </c>
      <c r="B12" s="1" t="s">
        <v>31</v>
      </c>
      <c r="C12" s="1" t="s">
        <v>90</v>
      </c>
      <c r="D12" s="16"/>
      <c r="E12" s="35" t="s">
        <v>91</v>
      </c>
      <c r="F12" s="35" t="s">
        <v>92</v>
      </c>
      <c r="G12" s="35" t="s">
        <v>93</v>
      </c>
      <c r="H12" s="11"/>
    </row>
    <row r="13" spans="1:8">
      <c r="A13">
        <f>'Launaseðill 1'!A7</f>
        <v>0</v>
      </c>
      <c r="B13" s="5">
        <f>'Launaseðill 1'!E7</f>
        <v>0</v>
      </c>
      <c r="C13" s="6">
        <f>'Launaseðill 1'!E36</f>
        <v>0</v>
      </c>
      <c r="D13" s="12"/>
      <c r="E13" s="12"/>
      <c r="F13" s="12"/>
      <c r="G13" s="11"/>
      <c r="H13" s="11"/>
    </row>
    <row r="14" spans="1:8">
      <c r="A14">
        <f>'Launaseðill 2'!A7</f>
        <v>0</v>
      </c>
      <c r="B14" s="17">
        <f>'Launaseðill 2'!E7</f>
        <v>0</v>
      </c>
      <c r="C14" s="6">
        <f>'Launaseðill 2'!E35</f>
        <v>0</v>
      </c>
      <c r="D14" s="12"/>
      <c r="E14" s="11"/>
      <c r="F14" s="12"/>
      <c r="G14" s="12"/>
      <c r="H14" s="11"/>
    </row>
    <row r="15" spans="1:8">
      <c r="A15">
        <f>'Launaseðill 3'!A7</f>
        <v>0</v>
      </c>
      <c r="B15" s="5">
        <f>'Launaseðill 3'!E7</f>
        <v>0</v>
      </c>
      <c r="C15" s="6">
        <f>'Launaseðill 3'!E35</f>
        <v>0</v>
      </c>
      <c r="D15" s="12"/>
      <c r="E15" s="36">
        <v>1111</v>
      </c>
      <c r="F15" s="37">
        <v>26</v>
      </c>
      <c r="G15" s="36">
        <v>999999</v>
      </c>
      <c r="H15" s="11"/>
    </row>
    <row r="16" spans="1:8">
      <c r="D16" s="11"/>
      <c r="E16" s="11"/>
      <c r="F16" s="11"/>
      <c r="G16" s="11"/>
      <c r="H16" s="11"/>
    </row>
    <row r="17" spans="3:8">
      <c r="D17" s="11"/>
      <c r="E17" s="11"/>
      <c r="F17" s="11"/>
      <c r="G17" s="11"/>
      <c r="H17" s="11"/>
    </row>
    <row r="18" spans="3:8" ht="13.5" thickBot="1">
      <c r="C18" s="14">
        <f>SUM(C14:C17)</f>
        <v>0</v>
      </c>
      <c r="D18" s="12"/>
      <c r="E18" s="12"/>
      <c r="F18" s="12"/>
      <c r="G18" s="12"/>
      <c r="H18" s="11"/>
    </row>
    <row r="19" spans="3:8" ht="13.5" thickTop="1">
      <c r="D19" s="11"/>
      <c r="E19" s="11"/>
      <c r="F19" s="11"/>
      <c r="G19" s="11"/>
      <c r="H19" s="11"/>
    </row>
  </sheetData>
  <mergeCells count="1">
    <mergeCell ref="E1:F1"/>
  </mergeCells>
  <phoneticPr fontId="4" type="noConversion"/>
  <hyperlinks>
    <hyperlink ref="H1" location="Grunnupplýsingar!A1" display="Heim"/>
  </hyperlinks>
  <pageMargins left="0.75" right="0.75" top="1" bottom="1" header="0.5" footer="0.5"/>
  <pageSetup paperSize="9" orientation="portrait" horizontalDpi="4294967293" vertic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H19"/>
  <sheetViews>
    <sheetView workbookViewId="0">
      <selection activeCell="H1" sqref="H1"/>
    </sheetView>
  </sheetViews>
  <sheetFormatPr defaultRowHeight="12.75"/>
  <cols>
    <col min="1" max="1" width="21.140625" bestFit="1" customWidth="1"/>
    <col min="2" max="2" width="11.7109375" bestFit="1" customWidth="1"/>
    <col min="3" max="3" width="9.140625" bestFit="1" customWidth="1"/>
    <col min="4" max="4" width="4" customWidth="1"/>
    <col min="5" max="5" width="10.85546875" bestFit="1" customWidth="1"/>
    <col min="6" max="6" width="12.85546875" bestFit="1" customWidth="1"/>
    <col min="7" max="7" width="12.7109375" bestFit="1" customWidth="1"/>
  </cols>
  <sheetData>
    <row r="1" spans="1:8" ht="19.5">
      <c r="A1" s="2" t="s">
        <v>113</v>
      </c>
      <c r="E1" s="138">
        <f>utmanudur</f>
        <v>40208</v>
      </c>
      <c r="F1" s="138"/>
      <c r="H1" s="129" t="s">
        <v>141</v>
      </c>
    </row>
    <row r="4" spans="1:8">
      <c r="A4" s="1" t="str">
        <f>ft_heiti</f>
        <v>Bókhald og kennsla ehf</v>
      </c>
    </row>
    <row r="5" spans="1:8">
      <c r="A5" t="str">
        <f>ft_kt</f>
        <v>510808-0530</v>
      </c>
    </row>
    <row r="6" spans="1:8">
      <c r="A6" t="str">
        <f>ft_heimili</f>
        <v>Brekkutanga 2</v>
      </c>
    </row>
    <row r="7" spans="1:8">
      <c r="A7" t="str">
        <f>ft_stadur</f>
        <v>270 Mosfellsbær</v>
      </c>
    </row>
    <row r="12" spans="1:8">
      <c r="A12" s="1" t="s">
        <v>30</v>
      </c>
      <c r="B12" s="1" t="s">
        <v>31</v>
      </c>
      <c r="C12" s="1" t="s">
        <v>112</v>
      </c>
      <c r="D12" s="16"/>
      <c r="E12" s="35" t="s">
        <v>91</v>
      </c>
      <c r="F12" s="35" t="s">
        <v>92</v>
      </c>
      <c r="G12" s="35" t="s">
        <v>93</v>
      </c>
    </row>
    <row r="13" spans="1:8">
      <c r="A13">
        <f>'Launaseðill 1'!A7</f>
        <v>0</v>
      </c>
      <c r="B13" s="5">
        <f>'Launaseðill 1'!E7</f>
        <v>0</v>
      </c>
      <c r="C13" s="6">
        <f>'Launaseðill 1'!E47</f>
        <v>190148.56</v>
      </c>
      <c r="D13" s="12"/>
      <c r="E13" s="36"/>
      <c r="F13" s="37"/>
      <c r="G13" s="36"/>
    </row>
    <row r="14" spans="1:8">
      <c r="A14">
        <f>'Launaseðill 2'!A7</f>
        <v>0</v>
      </c>
      <c r="B14" s="17">
        <f>'Launaseðill 2'!E7</f>
        <v>0</v>
      </c>
      <c r="C14" s="6">
        <f>'Launaseðill 2'!E46</f>
        <v>0</v>
      </c>
      <c r="D14" s="12"/>
      <c r="E14" s="36"/>
      <c r="F14" s="37"/>
      <c r="G14" s="37"/>
    </row>
    <row r="15" spans="1:8">
      <c r="A15">
        <f>'Launaseðill 3'!A7</f>
        <v>0</v>
      </c>
      <c r="B15" s="5">
        <f>'Launaseðill 3'!E7</f>
        <v>0</v>
      </c>
      <c r="C15" s="6">
        <f>'Launaseðill 3'!E35</f>
        <v>0</v>
      </c>
      <c r="D15" s="12"/>
      <c r="E15" s="36"/>
      <c r="F15" s="37"/>
      <c r="G15" s="36"/>
    </row>
    <row r="16" spans="1:8">
      <c r="D16" s="11"/>
      <c r="E16" s="11"/>
      <c r="F16" s="11"/>
      <c r="G16" s="11"/>
    </row>
    <row r="17" spans="3:7">
      <c r="D17" s="11"/>
      <c r="E17" s="11"/>
      <c r="F17" s="11"/>
      <c r="G17" s="11"/>
    </row>
    <row r="18" spans="3:7" ht="13.5" thickBot="1">
      <c r="C18" s="14">
        <f>SUM(C13:C17)</f>
        <v>190148.56</v>
      </c>
      <c r="D18" s="12"/>
      <c r="E18" s="12"/>
      <c r="F18" s="12"/>
      <c r="G18" s="12"/>
    </row>
    <row r="19" spans="3:7" ht="13.5" thickTop="1">
      <c r="D19" s="11"/>
      <c r="E19" s="11"/>
      <c r="F19" s="11"/>
      <c r="G19" s="11"/>
    </row>
  </sheetData>
  <mergeCells count="1">
    <mergeCell ref="E1:F1"/>
  </mergeCells>
  <hyperlinks>
    <hyperlink ref="H1" location="Grunnupplýsingar!A1" display="Heim"/>
  </hyperlinks>
  <pageMargins left="0.7" right="0.7" top="0.75" bottom="0.75" header="0.3" footer="0.3"/>
  <pageSetup orientation="portrait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O39"/>
  <sheetViews>
    <sheetView topLeftCell="A4" workbookViewId="0">
      <selection activeCell="H7" sqref="H7"/>
    </sheetView>
  </sheetViews>
  <sheetFormatPr defaultRowHeight="12.75"/>
  <cols>
    <col min="1" max="1" width="19.140625" style="26" customWidth="1"/>
    <col min="2" max="2" width="11.5703125" customWidth="1"/>
    <col min="3" max="4" width="10.28515625" customWidth="1"/>
    <col min="5" max="5" width="12.28515625" customWidth="1"/>
    <col min="6" max="8" width="10.28515625" customWidth="1"/>
    <col min="9" max="9" width="12.28515625" customWidth="1"/>
    <col min="10" max="10" width="11" customWidth="1"/>
    <col min="11" max="12" width="11.85546875" customWidth="1"/>
  </cols>
  <sheetData>
    <row r="1" spans="1:15" ht="15" customHeight="1"/>
    <row r="2" spans="1:15" ht="15" customHeight="1">
      <c r="E2" s="57" t="s">
        <v>117</v>
      </c>
      <c r="F2" s="139"/>
      <c r="G2" s="139"/>
      <c r="H2" s="139"/>
      <c r="I2" s="139"/>
      <c r="M2" s="140" t="s">
        <v>68</v>
      </c>
      <c r="N2" s="140"/>
      <c r="O2" s="140"/>
    </row>
    <row r="3" spans="1:15" ht="15" customHeight="1">
      <c r="A3" s="58" t="s">
        <v>118</v>
      </c>
      <c r="B3" s="59"/>
      <c r="F3" t="s">
        <v>119</v>
      </c>
      <c r="H3" s="39">
        <v>0.13120000000000001</v>
      </c>
      <c r="M3" s="140"/>
      <c r="N3" s="140"/>
      <c r="O3" s="140"/>
    </row>
    <row r="4" spans="1:15" ht="15" customHeight="1" thickBot="1">
      <c r="A4" s="58"/>
      <c r="B4" s="59"/>
      <c r="M4" s="140"/>
      <c r="N4" s="140"/>
      <c r="O4" s="140"/>
    </row>
    <row r="5" spans="1:15" ht="15" customHeight="1" thickBot="1">
      <c r="B5" s="59"/>
      <c r="D5" s="141">
        <v>2010</v>
      </c>
      <c r="E5" s="142"/>
      <c r="F5" s="143"/>
      <c r="H5" s="144">
        <v>2009</v>
      </c>
      <c r="I5" s="145"/>
      <c r="M5" s="140"/>
      <c r="N5" s="140"/>
      <c r="O5" s="140"/>
    </row>
    <row r="6" spans="1:15" ht="15" customHeight="1">
      <c r="D6" s="60" t="s">
        <v>120</v>
      </c>
      <c r="E6" s="61">
        <v>0</v>
      </c>
      <c r="F6" s="62">
        <f>24.1%+13.12%</f>
        <v>0.37219999999999998</v>
      </c>
      <c r="G6" s="63"/>
      <c r="H6" s="64">
        <v>0</v>
      </c>
      <c r="I6" s="65">
        <v>0.372</v>
      </c>
      <c r="M6" s="140"/>
      <c r="N6" s="140"/>
      <c r="O6" s="140"/>
    </row>
    <row r="7" spans="1:15" ht="15" customHeight="1">
      <c r="A7" s="109">
        <v>230000</v>
      </c>
      <c r="D7" s="66" t="s">
        <v>121</v>
      </c>
      <c r="E7" s="67">
        <v>200000</v>
      </c>
      <c r="F7" s="65">
        <f>27%+13.12%</f>
        <v>0.4012</v>
      </c>
      <c r="G7" s="63"/>
      <c r="H7" s="64">
        <v>250000</v>
      </c>
      <c r="I7" s="65">
        <v>0.372</v>
      </c>
      <c r="M7" s="140"/>
      <c r="N7" s="140"/>
      <c r="O7" s="140"/>
    </row>
    <row r="8" spans="1:15" ht="15" customHeight="1" thickBot="1">
      <c r="D8" s="66" t="s">
        <v>122</v>
      </c>
      <c r="E8" s="67">
        <v>650000</v>
      </c>
      <c r="F8" s="65">
        <f>33%+13.12%</f>
        <v>0.4612</v>
      </c>
      <c r="G8" s="63"/>
      <c r="H8" s="68">
        <v>700000</v>
      </c>
      <c r="I8" s="69">
        <f>I6+8%</f>
        <v>0.45200000000000001</v>
      </c>
      <c r="M8" s="140"/>
      <c r="N8" s="140"/>
      <c r="O8" s="140"/>
    </row>
    <row r="9" spans="1:15" ht="15" customHeight="1" thickBot="1">
      <c r="D9" s="70" t="s">
        <v>123</v>
      </c>
      <c r="E9" s="71"/>
      <c r="F9" s="69"/>
      <c r="G9" s="63"/>
      <c r="H9" s="68"/>
      <c r="I9" s="69"/>
      <c r="M9" s="140"/>
      <c r="N9" s="140"/>
      <c r="O9" s="140"/>
    </row>
    <row r="10" spans="1:15" ht="15" customHeight="1">
      <c r="D10" s="72" t="s">
        <v>68</v>
      </c>
      <c r="E10" s="73"/>
      <c r="F10" s="63"/>
      <c r="G10" s="63"/>
      <c r="H10" s="73"/>
      <c r="I10" s="63"/>
      <c r="M10" s="74"/>
      <c r="N10" s="74"/>
      <c r="O10" s="74"/>
    </row>
    <row r="11" spans="1:15" ht="13.5" thickBot="1"/>
    <row r="12" spans="1:15">
      <c r="A12" s="75"/>
      <c r="B12" s="146">
        <v>2010</v>
      </c>
      <c r="C12" s="147"/>
      <c r="D12" s="147"/>
      <c r="E12" s="76" t="s">
        <v>51</v>
      </c>
      <c r="F12" s="77"/>
      <c r="G12" s="146">
        <v>2009</v>
      </c>
      <c r="H12" s="147"/>
      <c r="I12" s="76" t="s">
        <v>51</v>
      </c>
      <c r="J12" s="78"/>
      <c r="K12" s="79" t="s">
        <v>124</v>
      </c>
      <c r="L12" s="80" t="s">
        <v>124</v>
      </c>
    </row>
    <row r="13" spans="1:15" ht="25.5">
      <c r="A13" s="81"/>
      <c r="B13" s="82" t="s">
        <v>120</v>
      </c>
      <c r="C13" s="83" t="s">
        <v>121</v>
      </c>
      <c r="D13" s="83" t="s">
        <v>122</v>
      </c>
      <c r="E13" s="84" t="s">
        <v>125</v>
      </c>
      <c r="F13" s="85" t="s">
        <v>68</v>
      </c>
      <c r="G13" s="86"/>
      <c r="H13" s="84"/>
      <c r="I13" s="84" t="s">
        <v>125</v>
      </c>
      <c r="J13" s="85" t="s">
        <v>68</v>
      </c>
      <c r="K13" s="87" t="s">
        <v>126</v>
      </c>
      <c r="L13" s="88" t="s">
        <v>126</v>
      </c>
    </row>
    <row r="14" spans="1:15" ht="26.25" thickBot="1">
      <c r="A14" s="89" t="s">
        <v>127</v>
      </c>
      <c r="B14" s="90">
        <f>F6</f>
        <v>0.37219999999999998</v>
      </c>
      <c r="C14" s="91">
        <f>F7</f>
        <v>0.4012</v>
      </c>
      <c r="D14" s="91">
        <f>F8</f>
        <v>0.4612</v>
      </c>
      <c r="E14" s="92">
        <f>42205+2000</f>
        <v>44205</v>
      </c>
      <c r="F14" s="93" t="s">
        <v>128</v>
      </c>
      <c r="G14" s="90">
        <f>I7</f>
        <v>0.372</v>
      </c>
      <c r="H14" s="91">
        <f>I8</f>
        <v>0.45200000000000001</v>
      </c>
      <c r="I14" s="92">
        <v>42205</v>
      </c>
      <c r="J14" s="93" t="s">
        <v>128</v>
      </c>
      <c r="K14" s="94" t="s">
        <v>129</v>
      </c>
      <c r="L14" s="95" t="s">
        <v>130</v>
      </c>
      <c r="N14" t="s">
        <v>68</v>
      </c>
    </row>
    <row r="15" spans="1:15" s="102" customFormat="1" ht="19.899999999999999" customHeight="1">
      <c r="A15" s="96">
        <f>A7*0.96</f>
        <v>220800</v>
      </c>
      <c r="B15" s="97">
        <f>IF(A15&lt;$E$7,A15,$E$7)</f>
        <v>200000</v>
      </c>
      <c r="C15" s="98">
        <f t="shared" ref="C15:C38" si="0">IF(A15&gt;=$E$8,$E$8-$E$7,A15-B15)</f>
        <v>20800</v>
      </c>
      <c r="D15" s="98">
        <f>A15-B15-C15</f>
        <v>0</v>
      </c>
      <c r="E15" s="98">
        <f>IF((B15*$B$14+C15*$C$14+D15*$D$14-$E$14)&lt;0,0,(B15*$B$14+C15*$C$14+D15*$D$14)-$E$14)</f>
        <v>38579.959999999992</v>
      </c>
      <c r="F15" s="99">
        <f>E15/A15</f>
        <v>0.1747280797101449</v>
      </c>
      <c r="G15" s="97">
        <f t="shared" ref="G15:G38" si="1">IF(A15&lt;$H$8,A15,$H$8)</f>
        <v>220800</v>
      </c>
      <c r="H15" s="98">
        <f>A15-G15</f>
        <v>0</v>
      </c>
      <c r="I15" s="98">
        <f>IF((G15*$G$14+H15*$H$14-$I$14)&lt;0,0,(G15*$G$14+H15*$H$14)-$I$14)</f>
        <v>39932.600000000006</v>
      </c>
      <c r="J15" s="99">
        <f t="shared" ref="J15:J38" si="2">I15/A15</f>
        <v>0.1808541666666667</v>
      </c>
      <c r="K15" s="100">
        <f t="shared" ref="K15:K38" si="3">E15-I15</f>
        <v>-1352.640000000014</v>
      </c>
      <c r="L15" s="101">
        <f>K15/E15</f>
        <v>-3.5060689539336339E-2</v>
      </c>
    </row>
    <row r="16" spans="1:15">
      <c r="A16" s="103"/>
      <c r="B16" s="104"/>
      <c r="C16" s="105"/>
      <c r="D16" s="105"/>
      <c r="E16" s="105"/>
      <c r="F16" s="106"/>
      <c r="G16" s="104"/>
      <c r="H16" s="105"/>
      <c r="I16" s="105"/>
      <c r="J16" s="106"/>
      <c r="K16" s="107"/>
      <c r="L16" s="108"/>
    </row>
    <row r="17" spans="1:12">
      <c r="A17" s="109">
        <v>160000</v>
      </c>
      <c r="B17" s="104">
        <f>IF(A17&lt;$E$7,A17,$E$7)</f>
        <v>160000</v>
      </c>
      <c r="C17" s="105">
        <f>IF(A17&gt;=$E$8,$E$8-$E$7,A17-B17)</f>
        <v>0</v>
      </c>
      <c r="D17" s="105">
        <f>A17-B17-C17</f>
        <v>0</v>
      </c>
      <c r="E17" s="105">
        <f>IF((B17*$B$14+C17*$C$14+D17*$D$14-$E$14)&lt;0,0,(B17*$B$14+C17*$C$14+D17*$D$14)-$E$14)</f>
        <v>15346.999999999993</v>
      </c>
      <c r="F17" s="106">
        <f>E17/A17</f>
        <v>9.5918749999999955E-2</v>
      </c>
      <c r="G17" s="104">
        <f>IF(A17&lt;$H$8,A17,$H$8)</f>
        <v>160000</v>
      </c>
      <c r="H17" s="105">
        <f>A17-G17</f>
        <v>0</v>
      </c>
      <c r="I17" s="105">
        <f t="shared" ref="I17:I38" si="4">IF((G17*$G$14+H17*$H$14-$I$14)&lt;0,0,(G17*$G$14+H17*$H$14)-$I$14)</f>
        <v>17315</v>
      </c>
      <c r="J17" s="106">
        <f>I17/A17</f>
        <v>0.10821875</v>
      </c>
      <c r="K17" s="107">
        <f>E17-I17</f>
        <v>-1968.0000000000073</v>
      </c>
      <c r="L17" s="108">
        <f t="shared" ref="L17:L38" si="5">K17/E17</f>
        <v>-0.1282335309832546</v>
      </c>
    </row>
    <row r="18" spans="1:12">
      <c r="A18" s="109">
        <v>180000</v>
      </c>
      <c r="B18" s="104">
        <f>IF(A18&lt;$E$7,A18,$E$7)</f>
        <v>180000</v>
      </c>
      <c r="C18" s="105">
        <f>IF(A18&gt;=$E$8,$E$8-$E$7,A18-B18)</f>
        <v>0</v>
      </c>
      <c r="D18" s="105">
        <f>A18-B18-C18</f>
        <v>0</v>
      </c>
      <c r="E18" s="105">
        <f>IF((B18*$B$14+C18*$C$14+D18*$D$14-$E$14)&lt;0,0,(B18*$B$14+C18*$C$14+D18*$D$14)-$E$14)</f>
        <v>22791</v>
      </c>
      <c r="F18" s="106">
        <f>E18/A18</f>
        <v>0.12661666666666666</v>
      </c>
      <c r="G18" s="104">
        <f>IF(A18&lt;$H$8,A18,$H$8)</f>
        <v>180000</v>
      </c>
      <c r="H18" s="105">
        <f>A18-G18</f>
        <v>0</v>
      </c>
      <c r="I18" s="105">
        <f t="shared" si="4"/>
        <v>24755</v>
      </c>
      <c r="J18" s="106">
        <f>I18/A18</f>
        <v>0.13752777777777778</v>
      </c>
      <c r="K18" s="107">
        <f>E18-I18</f>
        <v>-1964</v>
      </c>
      <c r="L18" s="108">
        <f>K18/E18</f>
        <v>-8.617436707472248E-2</v>
      </c>
    </row>
    <row r="19" spans="1:12">
      <c r="A19" s="109">
        <v>205000</v>
      </c>
      <c r="B19" s="104">
        <f t="shared" ref="B19:B38" si="6">IF(A19&lt;$E$7,A19,$E$7)</f>
        <v>200000</v>
      </c>
      <c r="C19" s="105">
        <f t="shared" si="0"/>
        <v>5000</v>
      </c>
      <c r="D19" s="105">
        <f>A19-B19-C19</f>
        <v>0</v>
      </c>
      <c r="E19" s="105">
        <f t="shared" ref="E19:E29" si="7">IF((B19*$B$14+C19*$C$14+D19*$D$14-$E$14)&lt;0,0,(B19*$B$14+C19*$C$14+D19*$D$14)-$E$14)</f>
        <v>32241</v>
      </c>
      <c r="F19" s="106">
        <f>E19/A19</f>
        <v>0.15727317073170732</v>
      </c>
      <c r="G19" s="104">
        <f t="shared" si="1"/>
        <v>205000</v>
      </c>
      <c r="H19" s="105">
        <f t="shared" ref="H19:H38" si="8">A19-G19</f>
        <v>0</v>
      </c>
      <c r="I19" s="105">
        <f t="shared" si="4"/>
        <v>34055</v>
      </c>
      <c r="J19" s="106">
        <f t="shared" si="2"/>
        <v>0.1661219512195122</v>
      </c>
      <c r="K19" s="107">
        <f t="shared" si="3"/>
        <v>-1814</v>
      </c>
      <c r="L19" s="108">
        <f t="shared" si="5"/>
        <v>-5.6263763530907847E-2</v>
      </c>
    </row>
    <row r="20" spans="1:12">
      <c r="A20" s="109">
        <v>300000</v>
      </c>
      <c r="B20" s="104">
        <f t="shared" si="6"/>
        <v>200000</v>
      </c>
      <c r="C20" s="105">
        <f t="shared" si="0"/>
        <v>100000</v>
      </c>
      <c r="D20" s="105">
        <f>A20-B20-C20</f>
        <v>0</v>
      </c>
      <c r="E20" s="105">
        <f t="shared" si="7"/>
        <v>70355</v>
      </c>
      <c r="F20" s="106">
        <f t="shared" ref="F20:F38" si="9">E20/A20</f>
        <v>0.23451666666666668</v>
      </c>
      <c r="G20" s="104">
        <f t="shared" si="1"/>
        <v>300000</v>
      </c>
      <c r="H20" s="105">
        <f t="shared" si="8"/>
        <v>0</v>
      </c>
      <c r="I20" s="105">
        <f t="shared" si="4"/>
        <v>69395</v>
      </c>
      <c r="J20" s="106">
        <f t="shared" si="2"/>
        <v>0.23131666666666667</v>
      </c>
      <c r="K20" s="107">
        <f t="shared" si="3"/>
        <v>960</v>
      </c>
      <c r="L20" s="108">
        <f t="shared" si="5"/>
        <v>1.3645085637126004E-2</v>
      </c>
    </row>
    <row r="21" spans="1:12">
      <c r="A21" s="109">
        <v>400000</v>
      </c>
      <c r="B21" s="104">
        <f t="shared" si="6"/>
        <v>200000</v>
      </c>
      <c r="C21" s="105">
        <f t="shared" si="0"/>
        <v>200000</v>
      </c>
      <c r="D21" s="105">
        <f t="shared" ref="D21:D38" si="10">A21-B21-C21</f>
        <v>0</v>
      </c>
      <c r="E21" s="105">
        <f t="shared" si="7"/>
        <v>110475</v>
      </c>
      <c r="F21" s="106">
        <f t="shared" si="9"/>
        <v>0.27618749999999997</v>
      </c>
      <c r="G21" s="104">
        <f t="shared" si="1"/>
        <v>400000</v>
      </c>
      <c r="H21" s="105">
        <f t="shared" si="8"/>
        <v>0</v>
      </c>
      <c r="I21" s="105">
        <f t="shared" si="4"/>
        <v>106595</v>
      </c>
      <c r="J21" s="106">
        <f t="shared" si="2"/>
        <v>0.26648749999999999</v>
      </c>
      <c r="K21" s="107">
        <f t="shared" si="3"/>
        <v>3880</v>
      </c>
      <c r="L21" s="108">
        <f t="shared" si="5"/>
        <v>3.5121068114958139E-2</v>
      </c>
    </row>
    <row r="22" spans="1:12">
      <c r="A22" s="109">
        <v>450000</v>
      </c>
      <c r="B22" s="104">
        <f t="shared" si="6"/>
        <v>200000</v>
      </c>
      <c r="C22" s="105">
        <f t="shared" si="0"/>
        <v>250000</v>
      </c>
      <c r="D22" s="105">
        <f t="shared" si="10"/>
        <v>0</v>
      </c>
      <c r="E22" s="105">
        <f t="shared" si="7"/>
        <v>130535</v>
      </c>
      <c r="F22" s="106">
        <f>E22/A22</f>
        <v>0.29007777777777777</v>
      </c>
      <c r="G22" s="104">
        <f t="shared" si="1"/>
        <v>450000</v>
      </c>
      <c r="H22" s="105">
        <f t="shared" si="8"/>
        <v>0</v>
      </c>
      <c r="I22" s="105">
        <f t="shared" si="4"/>
        <v>125195</v>
      </c>
      <c r="J22" s="106">
        <f t="shared" si="2"/>
        <v>0.27821111111111113</v>
      </c>
      <c r="K22" s="107">
        <f t="shared" si="3"/>
        <v>5340</v>
      </c>
      <c r="L22" s="108">
        <f t="shared" si="5"/>
        <v>4.090856858313862E-2</v>
      </c>
    </row>
    <row r="23" spans="1:12">
      <c r="A23" s="109">
        <v>480000</v>
      </c>
      <c r="B23" s="104">
        <f t="shared" si="6"/>
        <v>200000</v>
      </c>
      <c r="C23" s="105">
        <f t="shared" si="0"/>
        <v>280000</v>
      </c>
      <c r="D23" s="105">
        <f t="shared" si="10"/>
        <v>0</v>
      </c>
      <c r="E23" s="105">
        <f t="shared" si="7"/>
        <v>142571</v>
      </c>
      <c r="F23" s="106">
        <f>E23/A23</f>
        <v>0.29702291666666669</v>
      </c>
      <c r="G23" s="104">
        <f t="shared" si="1"/>
        <v>480000</v>
      </c>
      <c r="H23" s="105">
        <f t="shared" si="8"/>
        <v>0</v>
      </c>
      <c r="I23" s="105">
        <f t="shared" si="4"/>
        <v>136355</v>
      </c>
      <c r="J23" s="106">
        <f t="shared" si="2"/>
        <v>0.28407291666666667</v>
      </c>
      <c r="K23" s="107">
        <f t="shared" si="3"/>
        <v>6216</v>
      </c>
      <c r="L23" s="108">
        <f t="shared" si="5"/>
        <v>4.3599329456902175E-2</v>
      </c>
    </row>
    <row r="24" spans="1:12">
      <c r="A24" s="109">
        <v>500000</v>
      </c>
      <c r="B24" s="104">
        <f t="shared" si="6"/>
        <v>200000</v>
      </c>
      <c r="C24" s="105">
        <f t="shared" si="0"/>
        <v>300000</v>
      </c>
      <c r="D24" s="105">
        <f t="shared" si="10"/>
        <v>0</v>
      </c>
      <c r="E24" s="105">
        <f t="shared" si="7"/>
        <v>150595</v>
      </c>
      <c r="F24" s="106">
        <f t="shared" si="9"/>
        <v>0.30119000000000001</v>
      </c>
      <c r="G24" s="104">
        <f t="shared" si="1"/>
        <v>500000</v>
      </c>
      <c r="H24" s="105">
        <f t="shared" si="8"/>
        <v>0</v>
      </c>
      <c r="I24" s="105">
        <f t="shared" si="4"/>
        <v>143795</v>
      </c>
      <c r="J24" s="106">
        <f t="shared" si="2"/>
        <v>0.28759000000000001</v>
      </c>
      <c r="K24" s="107">
        <f t="shared" si="3"/>
        <v>6800</v>
      </c>
      <c r="L24" s="108">
        <f t="shared" si="5"/>
        <v>4.5154221587702117E-2</v>
      </c>
    </row>
    <row r="25" spans="1:12">
      <c r="A25" s="109">
        <v>600000</v>
      </c>
      <c r="B25" s="104">
        <f t="shared" si="6"/>
        <v>200000</v>
      </c>
      <c r="C25" s="105">
        <f t="shared" si="0"/>
        <v>400000</v>
      </c>
      <c r="D25" s="105">
        <f t="shared" si="10"/>
        <v>0</v>
      </c>
      <c r="E25" s="105">
        <f t="shared" si="7"/>
        <v>190715</v>
      </c>
      <c r="F25" s="106">
        <f t="shared" si="9"/>
        <v>0.31785833333333335</v>
      </c>
      <c r="G25" s="104">
        <f t="shared" si="1"/>
        <v>600000</v>
      </c>
      <c r="H25" s="105">
        <f t="shared" si="8"/>
        <v>0</v>
      </c>
      <c r="I25" s="105">
        <f t="shared" si="4"/>
        <v>180995</v>
      </c>
      <c r="J25" s="106">
        <f t="shared" si="2"/>
        <v>0.30165833333333331</v>
      </c>
      <c r="K25" s="107">
        <f t="shared" si="3"/>
        <v>9720</v>
      </c>
      <c r="L25" s="108">
        <f t="shared" si="5"/>
        <v>5.0966101250557116E-2</v>
      </c>
    </row>
    <row r="26" spans="1:12">
      <c r="A26" s="109">
        <v>640000</v>
      </c>
      <c r="B26" s="104">
        <f t="shared" si="6"/>
        <v>200000</v>
      </c>
      <c r="C26" s="105">
        <f t="shared" si="0"/>
        <v>440000</v>
      </c>
      <c r="D26" s="105">
        <f t="shared" si="10"/>
        <v>0</v>
      </c>
      <c r="E26" s="105">
        <f t="shared" si="7"/>
        <v>206763</v>
      </c>
      <c r="F26" s="106">
        <f>E26/A26</f>
        <v>0.32306718750000002</v>
      </c>
      <c r="G26" s="104">
        <f t="shared" si="1"/>
        <v>640000</v>
      </c>
      <c r="H26" s="105">
        <f t="shared" si="8"/>
        <v>0</v>
      </c>
      <c r="I26" s="105">
        <f t="shared" si="4"/>
        <v>195875</v>
      </c>
      <c r="J26" s="106">
        <f t="shared" si="2"/>
        <v>0.30605468749999998</v>
      </c>
      <c r="K26" s="107">
        <f t="shared" si="3"/>
        <v>10888</v>
      </c>
      <c r="L26" s="108">
        <f t="shared" si="5"/>
        <v>5.265932492757408E-2</v>
      </c>
    </row>
    <row r="27" spans="1:12" s="18" customFormat="1">
      <c r="A27" s="110">
        <v>660000</v>
      </c>
      <c r="B27" s="111">
        <f t="shared" si="6"/>
        <v>200000</v>
      </c>
      <c r="C27" s="112">
        <f t="shared" si="0"/>
        <v>450000</v>
      </c>
      <c r="D27" s="112">
        <f t="shared" si="10"/>
        <v>10000</v>
      </c>
      <c r="E27" s="105">
        <f t="shared" si="7"/>
        <v>215387</v>
      </c>
      <c r="F27" s="113">
        <f>E27/A27</f>
        <v>0.32634393939393941</v>
      </c>
      <c r="G27" s="104">
        <f t="shared" si="1"/>
        <v>660000</v>
      </c>
      <c r="H27" s="105">
        <f t="shared" si="8"/>
        <v>0</v>
      </c>
      <c r="I27" s="105">
        <f t="shared" si="4"/>
        <v>203315</v>
      </c>
      <c r="J27" s="113">
        <f t="shared" si="2"/>
        <v>0.30805303030303033</v>
      </c>
      <c r="K27" s="114">
        <f t="shared" si="3"/>
        <v>12072</v>
      </c>
      <c r="L27" s="108">
        <f t="shared" si="5"/>
        <v>5.6047950897686487E-2</v>
      </c>
    </row>
    <row r="28" spans="1:12">
      <c r="A28" s="115">
        <v>700000</v>
      </c>
      <c r="B28" s="116">
        <f t="shared" si="6"/>
        <v>200000</v>
      </c>
      <c r="C28" s="117">
        <f t="shared" si="0"/>
        <v>450000</v>
      </c>
      <c r="D28" s="117">
        <f t="shared" si="10"/>
        <v>50000</v>
      </c>
      <c r="E28" s="117">
        <f t="shared" si="7"/>
        <v>233835</v>
      </c>
      <c r="F28" s="118">
        <f t="shared" si="9"/>
        <v>0.33405000000000001</v>
      </c>
      <c r="G28" s="116">
        <f t="shared" si="1"/>
        <v>700000</v>
      </c>
      <c r="H28" s="117">
        <f t="shared" si="8"/>
        <v>0</v>
      </c>
      <c r="I28" s="117">
        <f t="shared" si="4"/>
        <v>218195</v>
      </c>
      <c r="J28" s="118">
        <f t="shared" si="2"/>
        <v>0.31170714285714285</v>
      </c>
      <c r="K28" s="119">
        <f t="shared" si="3"/>
        <v>15640</v>
      </c>
      <c r="L28" s="120">
        <f t="shared" si="5"/>
        <v>6.688476917484551E-2</v>
      </c>
    </row>
    <row r="29" spans="1:12">
      <c r="A29" s="110">
        <v>750000</v>
      </c>
      <c r="B29" s="104">
        <f t="shared" si="6"/>
        <v>200000</v>
      </c>
      <c r="C29" s="105">
        <f t="shared" si="0"/>
        <v>450000</v>
      </c>
      <c r="D29" s="105">
        <f t="shared" si="10"/>
        <v>100000</v>
      </c>
      <c r="E29" s="105">
        <f t="shared" si="7"/>
        <v>256895</v>
      </c>
      <c r="F29" s="113">
        <f>E29/A29</f>
        <v>0.34252666666666665</v>
      </c>
      <c r="G29" s="104">
        <f t="shared" si="1"/>
        <v>700000</v>
      </c>
      <c r="H29" s="105">
        <f t="shared" si="8"/>
        <v>50000</v>
      </c>
      <c r="I29" s="105">
        <f t="shared" si="4"/>
        <v>240795</v>
      </c>
      <c r="J29" s="113">
        <f t="shared" si="2"/>
        <v>0.32106000000000001</v>
      </c>
      <c r="K29" s="114">
        <f t="shared" si="3"/>
        <v>16100</v>
      </c>
      <c r="L29" s="108">
        <f t="shared" si="5"/>
        <v>6.2671519492399616E-2</v>
      </c>
    </row>
    <row r="30" spans="1:12">
      <c r="A30" s="109">
        <v>800000</v>
      </c>
      <c r="B30" s="104">
        <f t="shared" si="6"/>
        <v>200000</v>
      </c>
      <c r="C30" s="105">
        <f t="shared" si="0"/>
        <v>450000</v>
      </c>
      <c r="D30" s="105">
        <f t="shared" si="10"/>
        <v>150000</v>
      </c>
      <c r="E30" s="105">
        <f>IF((B30*$B$14+C30*$C$14+D30*$D$14-$E$14)&lt;0,0,(B30*$B$14+C30*$C$14+D30*$D$14)-$E$14)</f>
        <v>279955</v>
      </c>
      <c r="F30" s="106">
        <f t="shared" si="9"/>
        <v>0.34994375</v>
      </c>
      <c r="G30" s="104">
        <f t="shared" si="1"/>
        <v>700000</v>
      </c>
      <c r="H30" s="105">
        <f t="shared" si="8"/>
        <v>100000</v>
      </c>
      <c r="I30" s="105">
        <f t="shared" si="4"/>
        <v>263395</v>
      </c>
      <c r="J30" s="106">
        <f t="shared" si="2"/>
        <v>0.32924375</v>
      </c>
      <c r="K30" s="107">
        <f t="shared" si="3"/>
        <v>16560</v>
      </c>
      <c r="L30" s="108">
        <f>K30/E30</f>
        <v>5.915236377274919E-2</v>
      </c>
    </row>
    <row r="31" spans="1:12">
      <c r="A31" s="109">
        <v>900000</v>
      </c>
      <c r="B31" s="104">
        <f t="shared" si="6"/>
        <v>200000</v>
      </c>
      <c r="C31" s="105">
        <f t="shared" si="0"/>
        <v>450000</v>
      </c>
      <c r="D31" s="105">
        <f t="shared" si="10"/>
        <v>250000</v>
      </c>
      <c r="E31" s="105">
        <f>IF((B31*$B$14+C31*$C$14+D31*$D$14-$E$14)&lt;0,0,(B31*$B$14+C31*$C$14+D31*$D$14)-$E$14)</f>
        <v>326075</v>
      </c>
      <c r="F31" s="106">
        <f t="shared" si="9"/>
        <v>0.36230555555555555</v>
      </c>
      <c r="G31" s="104">
        <f t="shared" si="1"/>
        <v>700000</v>
      </c>
      <c r="H31" s="105">
        <f t="shared" si="8"/>
        <v>200000</v>
      </c>
      <c r="I31" s="105">
        <f t="shared" si="4"/>
        <v>308595</v>
      </c>
      <c r="J31" s="106">
        <f t="shared" si="2"/>
        <v>0.34288333333333332</v>
      </c>
      <c r="K31" s="107">
        <f t="shared" si="3"/>
        <v>17480</v>
      </c>
      <c r="L31" s="108">
        <f t="shared" si="5"/>
        <v>5.3607298934294258E-2</v>
      </c>
    </row>
    <row r="32" spans="1:12">
      <c r="A32" s="109">
        <v>1000000</v>
      </c>
      <c r="B32" s="104">
        <f t="shared" si="6"/>
        <v>200000</v>
      </c>
      <c r="C32" s="105">
        <f t="shared" si="0"/>
        <v>450000</v>
      </c>
      <c r="D32" s="105">
        <f t="shared" si="10"/>
        <v>350000</v>
      </c>
      <c r="E32" s="105">
        <f t="shared" ref="E32:E38" si="11">IF((B32*$B$14+C32*$C$14+D32*$D$14-$E$14)&lt;0,0,(B32*$B$14+C32*$C$14+D32*$D$14)-$E$14)</f>
        <v>372195</v>
      </c>
      <c r="F32" s="106">
        <f t="shared" si="9"/>
        <v>0.372195</v>
      </c>
      <c r="G32" s="104">
        <f t="shared" si="1"/>
        <v>700000</v>
      </c>
      <c r="H32" s="105">
        <f t="shared" si="8"/>
        <v>300000</v>
      </c>
      <c r="I32" s="105">
        <f t="shared" si="4"/>
        <v>353795</v>
      </c>
      <c r="J32" s="106">
        <f t="shared" si="2"/>
        <v>0.35379500000000003</v>
      </c>
      <c r="K32" s="107">
        <f t="shared" si="3"/>
        <v>18400</v>
      </c>
      <c r="L32" s="108">
        <f t="shared" si="5"/>
        <v>4.9436451322559409E-2</v>
      </c>
    </row>
    <row r="33" spans="1:12">
      <c r="A33" s="109">
        <v>1100000</v>
      </c>
      <c r="B33" s="104">
        <f t="shared" si="6"/>
        <v>200000</v>
      </c>
      <c r="C33" s="105">
        <f t="shared" si="0"/>
        <v>450000</v>
      </c>
      <c r="D33" s="105">
        <f t="shared" si="10"/>
        <v>450000</v>
      </c>
      <c r="E33" s="105">
        <f t="shared" si="11"/>
        <v>418315</v>
      </c>
      <c r="F33" s="106">
        <f t="shared" si="9"/>
        <v>0.38028636363636364</v>
      </c>
      <c r="G33" s="104">
        <f t="shared" si="1"/>
        <v>700000</v>
      </c>
      <c r="H33" s="105">
        <f t="shared" si="8"/>
        <v>400000</v>
      </c>
      <c r="I33" s="105">
        <f t="shared" si="4"/>
        <v>398995</v>
      </c>
      <c r="J33" s="106">
        <f t="shared" si="2"/>
        <v>0.36272272727272725</v>
      </c>
      <c r="K33" s="107">
        <f t="shared" si="3"/>
        <v>19320</v>
      </c>
      <c r="L33" s="108">
        <f t="shared" si="5"/>
        <v>4.6185290988848118E-2</v>
      </c>
    </row>
    <row r="34" spans="1:12">
      <c r="A34" s="109">
        <v>1200000</v>
      </c>
      <c r="B34" s="104">
        <f t="shared" si="6"/>
        <v>200000</v>
      </c>
      <c r="C34" s="105">
        <f t="shared" si="0"/>
        <v>450000</v>
      </c>
      <c r="D34" s="105">
        <f t="shared" si="10"/>
        <v>550000</v>
      </c>
      <c r="E34" s="105">
        <f t="shared" si="11"/>
        <v>464435</v>
      </c>
      <c r="F34" s="106">
        <f t="shared" si="9"/>
        <v>0.38702916666666665</v>
      </c>
      <c r="G34" s="104">
        <f t="shared" si="1"/>
        <v>700000</v>
      </c>
      <c r="H34" s="105">
        <f t="shared" si="8"/>
        <v>500000</v>
      </c>
      <c r="I34" s="105">
        <f t="shared" si="4"/>
        <v>444195</v>
      </c>
      <c r="J34" s="113">
        <f t="shared" si="2"/>
        <v>0.37016250000000001</v>
      </c>
      <c r="K34" s="107">
        <f t="shared" si="3"/>
        <v>20240</v>
      </c>
      <c r="L34" s="108">
        <f t="shared" si="5"/>
        <v>4.3579833561208779E-2</v>
      </c>
    </row>
    <row r="35" spans="1:12">
      <c r="A35" s="109">
        <v>1400000</v>
      </c>
      <c r="B35" s="104">
        <f t="shared" si="6"/>
        <v>200000</v>
      </c>
      <c r="C35" s="105">
        <f t="shared" si="0"/>
        <v>450000</v>
      </c>
      <c r="D35" s="105">
        <f t="shared" si="10"/>
        <v>750000</v>
      </c>
      <c r="E35" s="105">
        <f t="shared" si="11"/>
        <v>556675</v>
      </c>
      <c r="F35" s="106">
        <f t="shared" si="9"/>
        <v>0.39762500000000001</v>
      </c>
      <c r="G35" s="104">
        <f t="shared" si="1"/>
        <v>700000</v>
      </c>
      <c r="H35" s="105">
        <f t="shared" si="8"/>
        <v>700000</v>
      </c>
      <c r="I35" s="105">
        <f t="shared" si="4"/>
        <v>534595</v>
      </c>
      <c r="J35" s="106">
        <f t="shared" si="2"/>
        <v>0.3818535714285714</v>
      </c>
      <c r="K35" s="107">
        <f t="shared" si="3"/>
        <v>22080</v>
      </c>
      <c r="L35" s="108">
        <f t="shared" si="5"/>
        <v>3.9664076885076574E-2</v>
      </c>
    </row>
    <row r="36" spans="1:12">
      <c r="A36" s="109">
        <v>1600000</v>
      </c>
      <c r="B36" s="104">
        <f t="shared" si="6"/>
        <v>200000</v>
      </c>
      <c r="C36" s="105">
        <f t="shared" si="0"/>
        <v>450000</v>
      </c>
      <c r="D36" s="105">
        <f t="shared" si="10"/>
        <v>950000</v>
      </c>
      <c r="E36" s="105">
        <f t="shared" si="11"/>
        <v>648915</v>
      </c>
      <c r="F36" s="106">
        <f t="shared" si="9"/>
        <v>0.40557187500000003</v>
      </c>
      <c r="G36" s="104">
        <f t="shared" si="1"/>
        <v>700000</v>
      </c>
      <c r="H36" s="105">
        <f t="shared" si="8"/>
        <v>900000</v>
      </c>
      <c r="I36" s="105">
        <f t="shared" si="4"/>
        <v>624995</v>
      </c>
      <c r="J36" s="106">
        <f t="shared" si="2"/>
        <v>0.39062187500000001</v>
      </c>
      <c r="K36" s="107">
        <f t="shared" si="3"/>
        <v>23920</v>
      </c>
      <c r="L36" s="108">
        <f t="shared" si="5"/>
        <v>3.6861530400745864E-2</v>
      </c>
    </row>
    <row r="37" spans="1:12">
      <c r="A37" s="109">
        <v>1800000</v>
      </c>
      <c r="B37" s="104">
        <f t="shared" si="6"/>
        <v>200000</v>
      </c>
      <c r="C37" s="105">
        <f t="shared" si="0"/>
        <v>450000</v>
      </c>
      <c r="D37" s="105">
        <f>A37-B37-C37</f>
        <v>1150000</v>
      </c>
      <c r="E37" s="105">
        <f t="shared" si="11"/>
        <v>741155</v>
      </c>
      <c r="F37" s="106">
        <f t="shared" si="9"/>
        <v>0.4117527777777778</v>
      </c>
      <c r="G37" s="104">
        <f t="shared" si="1"/>
        <v>700000</v>
      </c>
      <c r="H37" s="105">
        <f t="shared" si="8"/>
        <v>1100000</v>
      </c>
      <c r="I37" s="105">
        <f t="shared" si="4"/>
        <v>715395</v>
      </c>
      <c r="J37" s="106">
        <f t="shared" si="2"/>
        <v>0.39744166666666669</v>
      </c>
      <c r="K37" s="107">
        <f t="shared" si="3"/>
        <v>25760</v>
      </c>
      <c r="L37" s="108">
        <f t="shared" si="5"/>
        <v>3.4756562392482003E-2</v>
      </c>
    </row>
    <row r="38" spans="1:12" ht="13.5" thickBot="1">
      <c r="A38" s="109">
        <v>2000000</v>
      </c>
      <c r="B38" s="121">
        <f t="shared" si="6"/>
        <v>200000</v>
      </c>
      <c r="C38" s="122">
        <f t="shared" si="0"/>
        <v>450000</v>
      </c>
      <c r="D38" s="122">
        <f t="shared" si="10"/>
        <v>1350000</v>
      </c>
      <c r="E38" s="122">
        <f t="shared" si="11"/>
        <v>833395</v>
      </c>
      <c r="F38" s="123">
        <f t="shared" si="9"/>
        <v>0.4166975</v>
      </c>
      <c r="G38" s="121">
        <f t="shared" si="1"/>
        <v>700000</v>
      </c>
      <c r="H38" s="122">
        <f t="shared" si="8"/>
        <v>1300000</v>
      </c>
      <c r="I38" s="105">
        <f t="shared" si="4"/>
        <v>805795</v>
      </c>
      <c r="J38" s="123">
        <f t="shared" si="2"/>
        <v>0.40289750000000002</v>
      </c>
      <c r="K38" s="124">
        <f t="shared" si="3"/>
        <v>27600</v>
      </c>
      <c r="L38" s="125">
        <f t="shared" si="5"/>
        <v>3.3117549301351697E-2</v>
      </c>
    </row>
    <row r="39" spans="1:12">
      <c r="H39" s="105" t="s">
        <v>68</v>
      </c>
    </row>
  </sheetData>
  <mergeCells count="6">
    <mergeCell ref="F2:I2"/>
    <mergeCell ref="M2:O9"/>
    <mergeCell ref="D5:F5"/>
    <mergeCell ref="H5:I5"/>
    <mergeCell ref="B12:D12"/>
    <mergeCell ref="G12:H12"/>
  </mergeCells>
  <dataValidations count="1">
    <dataValidation allowBlank="1" showInputMessage="1" showErrorMessage="1" promptTitle="Slá inn fjárhæð heildarlauna!" prompt="." sqref="A15:A16"/>
  </dataValidations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45"/>
  <sheetViews>
    <sheetView workbookViewId="0"/>
  </sheetViews>
  <sheetFormatPr defaultRowHeight="12.75"/>
  <cols>
    <col min="1" max="1" width="11.85546875" customWidth="1"/>
    <col min="2" max="2" width="16.140625" customWidth="1"/>
    <col min="3" max="3" width="28.42578125" customWidth="1"/>
    <col min="5" max="6" width="11.28515625" customWidth="1"/>
  </cols>
  <sheetData>
    <row r="1" spans="1:6">
      <c r="A1" s="1" t="str">
        <f>ft_heiti</f>
        <v>Bókhald og kennsla ehf</v>
      </c>
    </row>
    <row r="2" spans="1:6">
      <c r="A2" t="str">
        <f>ft_kt</f>
        <v>510808-0530</v>
      </c>
    </row>
    <row r="3" spans="1:6">
      <c r="A3" t="str">
        <f>ft_heimili</f>
        <v>Brekkutanga 2</v>
      </c>
    </row>
    <row r="4" spans="1:6">
      <c r="A4" t="str">
        <f>ft_stadur</f>
        <v>270 Mosfellsbær</v>
      </c>
    </row>
    <row r="6" spans="1:6">
      <c r="D6" s="1" t="s">
        <v>80</v>
      </c>
      <c r="F6" s="29">
        <f>utmanudur</f>
        <v>40208</v>
      </c>
    </row>
    <row r="7" spans="1:6" ht="15.75">
      <c r="C7" s="46">
        <f>utmanudur</f>
        <v>40208</v>
      </c>
    </row>
    <row r="8" spans="1:6">
      <c r="C8" t="s">
        <v>68</v>
      </c>
    </row>
    <row r="10" spans="1:6">
      <c r="B10" s="38" t="s">
        <v>74</v>
      </c>
      <c r="C10" s="30" t="s">
        <v>79</v>
      </c>
      <c r="D10" s="30"/>
      <c r="E10" s="38" t="s">
        <v>75</v>
      </c>
      <c r="F10" s="38" t="s">
        <v>76</v>
      </c>
    </row>
    <row r="11" spans="1:6">
      <c r="B11" s="33" t="s">
        <v>47</v>
      </c>
      <c r="C11" s="31" t="s">
        <v>6</v>
      </c>
      <c r="D11" s="31"/>
      <c r="E11" s="43">
        <f>'Launaseðill 1'!E15+'Launaseðill 2'!E15+'Launaseðill 3'!E15</f>
        <v>245000</v>
      </c>
      <c r="F11" s="32"/>
    </row>
    <row r="12" spans="1:6">
      <c r="B12" s="33" t="s">
        <v>47</v>
      </c>
      <c r="C12" s="31" t="s">
        <v>7</v>
      </c>
      <c r="D12" s="31"/>
      <c r="E12" s="32">
        <f>'Launaseðill 1'!E16+'Launaseðill 2'!E16+'Launaseðill 3'!E16</f>
        <v>0</v>
      </c>
      <c r="F12" s="32"/>
    </row>
    <row r="13" spans="1:6">
      <c r="B13" s="33" t="s">
        <v>47</v>
      </c>
      <c r="C13" s="31" t="s">
        <v>25</v>
      </c>
      <c r="D13" s="31"/>
      <c r="E13" s="32">
        <f>'Launaseðill 1'!E17+'Launaseðill 2'!E17+'Launaseðill 3'!E17</f>
        <v>0</v>
      </c>
      <c r="F13" s="32"/>
    </row>
    <row r="14" spans="1:6">
      <c r="B14" s="33" t="s">
        <v>77</v>
      </c>
      <c r="C14" s="31" t="s">
        <v>8</v>
      </c>
      <c r="D14" s="31"/>
      <c r="E14" s="32">
        <f>'Launaseðill 1'!E18+'Launaseðill 2'!E18+'Launaseðill 3'!E18</f>
        <v>0</v>
      </c>
      <c r="F14" s="32"/>
    </row>
    <row r="15" spans="1:6">
      <c r="B15" s="33" t="s">
        <v>77</v>
      </c>
      <c r="C15" s="31" t="s">
        <v>9</v>
      </c>
      <c r="D15" s="31"/>
      <c r="E15" s="32">
        <f>'Launaseðill 1'!E19+'Launaseðill 2'!E19+'Launaseðill 3'!E19</f>
        <v>0</v>
      </c>
      <c r="F15" s="32"/>
    </row>
    <row r="16" spans="1:6">
      <c r="B16" s="33" t="s">
        <v>77</v>
      </c>
      <c r="C16" s="31" t="s">
        <v>24</v>
      </c>
      <c r="D16" s="31"/>
      <c r="E16" s="32">
        <f>'Launaseðill 1'!E20+'Launaseðill 2'!E20+'Launaseðill 3'!E20</f>
        <v>0</v>
      </c>
      <c r="F16" s="32"/>
    </row>
    <row r="17" spans="2:6">
      <c r="B17" s="33" t="s">
        <v>78</v>
      </c>
      <c r="C17" s="31" t="str">
        <f>B17</f>
        <v>mótr.bifr.hlunninda</v>
      </c>
      <c r="D17" s="31"/>
      <c r="E17" s="6"/>
      <c r="F17" s="32">
        <f>-E16</f>
        <v>0</v>
      </c>
    </row>
    <row r="18" spans="2:6">
      <c r="B18" s="33" t="str">
        <f>B13</f>
        <v>Laun</v>
      </c>
      <c r="C18" s="31" t="s">
        <v>26</v>
      </c>
      <c r="D18" s="31"/>
      <c r="E18" s="32">
        <f>'Launaseðill 1'!E21+'Launaseðill 2'!E21+'Launaseðill 3'!E21</f>
        <v>0</v>
      </c>
      <c r="F18" s="32"/>
    </row>
    <row r="19" spans="2:6">
      <c r="B19" s="33" t="str">
        <f>B13</f>
        <v>Laun</v>
      </c>
      <c r="C19" s="31" t="s">
        <v>27</v>
      </c>
      <c r="D19" s="31"/>
      <c r="E19" s="32">
        <f>'Launaseðill 1'!E22+'Launaseðill 2'!E22+'Launaseðill 3'!E22</f>
        <v>0</v>
      </c>
      <c r="F19" s="32"/>
    </row>
    <row r="20" spans="2:6">
      <c r="B20" s="44" t="s">
        <v>110</v>
      </c>
      <c r="C20" s="45" t="s">
        <v>111</v>
      </c>
      <c r="D20" s="31"/>
      <c r="E20" s="32">
        <f>-F37</f>
        <v>22887.899999999998</v>
      </c>
      <c r="F20" s="32"/>
    </row>
    <row r="21" spans="2:6">
      <c r="B21" s="33" t="s">
        <v>85</v>
      </c>
      <c r="C21" s="31" t="s">
        <v>86</v>
      </c>
      <c r="D21" s="31"/>
      <c r="E21" s="43">
        <f>Lífeyrissjóður!C18</f>
        <v>19600</v>
      </c>
      <c r="F21" s="32"/>
    </row>
    <row r="22" spans="2:6">
      <c r="B22" s="33" t="s">
        <v>95</v>
      </c>
      <c r="C22" s="31" t="s">
        <v>96</v>
      </c>
      <c r="D22" s="31"/>
      <c r="E22" s="32">
        <f>Viðbótarlífeyrissjóður!C18</f>
        <v>0</v>
      </c>
      <c r="F22" s="32"/>
    </row>
    <row r="23" spans="2:6">
      <c r="B23" s="33" t="s">
        <v>87</v>
      </c>
      <c r="C23" s="31" t="s">
        <v>87</v>
      </c>
      <c r="D23" s="31"/>
      <c r="E23" s="43">
        <f>Félagsgjöld!D17+Félagsgjöld!E17</f>
        <v>3871</v>
      </c>
      <c r="F23" s="32"/>
    </row>
    <row r="24" spans="2:6">
      <c r="B24" s="33"/>
      <c r="C24" s="31"/>
      <c r="D24" s="31"/>
      <c r="E24" s="32"/>
      <c r="F24" s="32"/>
    </row>
    <row r="25" spans="2:6">
      <c r="B25" s="31" t="s">
        <v>13</v>
      </c>
      <c r="C25" s="31" t="s">
        <v>13</v>
      </c>
      <c r="D25" s="31"/>
      <c r="E25" s="32"/>
      <c r="F25" s="32">
        <f>-('Launaseðill 1'!E35+'Launaseðill 2'!E34+'Launaseðill 3'!E34)</f>
        <v>0</v>
      </c>
    </row>
    <row r="26" spans="2:6">
      <c r="B26" s="31">
        <f>'Launaseðill 1'!A7</f>
        <v>0</v>
      </c>
      <c r="C26" s="31" t="str">
        <f>'Launaseðill 1'!A7 &amp;" -  úttekt í verslun"</f>
        <v xml:space="preserve"> -  úttekt í verslun</v>
      </c>
      <c r="D26" s="31"/>
      <c r="E26" s="32"/>
      <c r="F26" s="32">
        <f>-('Launaseðill 1'!E37)</f>
        <v>0</v>
      </c>
    </row>
    <row r="27" spans="2:6">
      <c r="B27" s="31">
        <f>'Launaseðill 2'!A7</f>
        <v>0</v>
      </c>
      <c r="C27" s="31" t="str">
        <f>'Launaseðill 2'!A7 &amp;" -  úttekt í verslun"</f>
        <v xml:space="preserve"> -  úttekt í verslun</v>
      </c>
      <c r="D27" s="31"/>
      <c r="E27" s="32"/>
      <c r="F27" s="32">
        <f>-('Launaseðill 2'!E36)</f>
        <v>0</v>
      </c>
    </row>
    <row r="28" spans="2:6">
      <c r="B28" s="31">
        <f>'Launaseðill 3'!A7</f>
        <v>0</v>
      </c>
      <c r="C28" s="31" t="str">
        <f>'Launaseðill 3'!A7 &amp;" -  úttekt í verslun"</f>
        <v xml:space="preserve"> -  úttekt í verslun</v>
      </c>
      <c r="D28" s="31"/>
      <c r="E28" s="32"/>
      <c r="F28" s="32">
        <f>-('Launaseðill 3'!E36)</f>
        <v>0</v>
      </c>
    </row>
    <row r="29" spans="2:6">
      <c r="B29" s="31">
        <f>'Launaseðill 1'!A7</f>
        <v>0</v>
      </c>
      <c r="C29" s="31" t="str">
        <f>'Launaseðill 1'!A7 &amp;" -  sjoppa"</f>
        <v xml:space="preserve"> -  sjoppa</v>
      </c>
      <c r="D29" s="31"/>
      <c r="E29" s="32"/>
      <c r="F29" s="32">
        <f>-('Launaseðill 1'!E38)</f>
        <v>0</v>
      </c>
    </row>
    <row r="30" spans="2:6">
      <c r="B30" s="31">
        <f>'Launaseðill 2'!A7</f>
        <v>0</v>
      </c>
      <c r="C30" s="31" t="str">
        <f>'Launaseðill 1'!A7 &amp;" -  sjoppa"</f>
        <v xml:space="preserve"> -  sjoppa</v>
      </c>
      <c r="D30" s="31"/>
      <c r="E30" s="32"/>
      <c r="F30" s="32">
        <f>-('Launaseðill 2'!E37)</f>
        <v>0</v>
      </c>
    </row>
    <row r="31" spans="2:6">
      <c r="B31" s="31">
        <f>'Launaseðill 3'!A7</f>
        <v>0</v>
      </c>
      <c r="C31" s="31" t="str">
        <f>'Launaseðill 1'!A7 &amp;" -  sjoppa"</f>
        <v xml:space="preserve"> -  sjoppa</v>
      </c>
      <c r="D31" s="31"/>
      <c r="E31" s="32"/>
      <c r="F31" s="32">
        <f>-('Launaseðill 3'!E37)</f>
        <v>0</v>
      </c>
    </row>
    <row r="32" spans="2:6">
      <c r="B32" s="31"/>
      <c r="C32" s="31"/>
      <c r="D32" s="31"/>
      <c r="E32" s="32"/>
      <c r="F32" s="32"/>
    </row>
    <row r="33" spans="2:7">
      <c r="B33" s="33" t="s">
        <v>15</v>
      </c>
      <c r="C33" s="31" t="s">
        <v>15</v>
      </c>
      <c r="D33" s="31"/>
      <c r="E33" s="32"/>
      <c r="F33" s="32">
        <f>-('Launaseðill 1'!E39+'Launaseðill 2'!E38+'Launaseðill 3'!E38)</f>
        <v>0</v>
      </c>
    </row>
    <row r="34" spans="2:7">
      <c r="B34" s="33" t="s">
        <v>82</v>
      </c>
      <c r="C34" s="31"/>
      <c r="D34" s="31"/>
      <c r="E34" s="32"/>
      <c r="F34" s="32">
        <f>-('Launaseðill 1'!E47+'Launaseðill 2'!E46+'Launaseðill 3'!E46)</f>
        <v>-190148.56</v>
      </c>
    </row>
    <row r="35" spans="2:7">
      <c r="B35" s="33" t="s">
        <v>88</v>
      </c>
      <c r="C35" s="31"/>
      <c r="D35" s="31"/>
      <c r="E35" s="32"/>
      <c r="F35" s="32">
        <f>-'orlof í banka'!C18</f>
        <v>0</v>
      </c>
    </row>
    <row r="36" spans="2:7">
      <c r="B36" s="33" t="s">
        <v>81</v>
      </c>
      <c r="C36" s="31"/>
      <c r="D36" s="31"/>
      <c r="E36" s="32"/>
      <c r="F36" s="32">
        <f>-Staðgreiðsla!G18</f>
        <v>-43336.439999999988</v>
      </c>
      <c r="G36" s="6">
        <f>F36+F37+F39+F40</f>
        <v>-101210.33999999998</v>
      </c>
    </row>
    <row r="37" spans="2:7">
      <c r="B37" s="44" t="s">
        <v>109</v>
      </c>
      <c r="C37" s="31"/>
      <c r="D37" s="31"/>
      <c r="E37" s="32"/>
      <c r="F37" s="32">
        <f>-Staðgreiðsla!B25</f>
        <v>-22887.899999999998</v>
      </c>
    </row>
    <row r="38" spans="2:7">
      <c r="B38" s="33" t="s">
        <v>83</v>
      </c>
      <c r="C38" s="31"/>
      <c r="D38" s="31"/>
      <c r="E38" s="32"/>
      <c r="F38" s="32">
        <f>-Meðlag!C18</f>
        <v>0</v>
      </c>
    </row>
    <row r="39" spans="2:7">
      <c r="B39" s="33" t="s">
        <v>94</v>
      </c>
      <c r="C39" s="31"/>
      <c r="D39" s="31"/>
      <c r="E39" s="32"/>
      <c r="F39" s="43">
        <f>-Lífeyrissjóður!C19-Viðbótarlífeyrissjóður!C19</f>
        <v>-29400</v>
      </c>
    </row>
    <row r="40" spans="2:7">
      <c r="B40" s="33" t="s">
        <v>84</v>
      </c>
      <c r="C40" s="31"/>
      <c r="D40" s="31"/>
      <c r="E40" s="32"/>
      <c r="F40" s="43">
        <f>-Félagsgjöld!C20</f>
        <v>-5586</v>
      </c>
    </row>
    <row r="41" spans="2:7">
      <c r="E41" s="6"/>
      <c r="F41" s="6"/>
    </row>
    <row r="42" spans="2:7">
      <c r="E42" s="34">
        <f>SUM(E11:E41)</f>
        <v>291358.90000000002</v>
      </c>
      <c r="F42" s="34">
        <f>SUM(F11:F41)</f>
        <v>-291358.90000000002</v>
      </c>
    </row>
    <row r="43" spans="2:7">
      <c r="E43" s="6"/>
      <c r="F43" s="6" t="s">
        <v>68</v>
      </c>
    </row>
    <row r="44" spans="2:7">
      <c r="E44" s="6"/>
      <c r="F44" s="6">
        <f>E42+F42</f>
        <v>0</v>
      </c>
    </row>
    <row r="45" spans="2:7">
      <c r="F45">
        <f>F44/2</f>
        <v>0</v>
      </c>
    </row>
  </sheetData>
  <phoneticPr fontId="4" type="noConversion"/>
  <pageMargins left="0.75" right="0.2" top="1" bottom="1" header="0.5" footer="0.5"/>
  <pageSetup paperSize="9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59"/>
  <sheetViews>
    <sheetView tabSelected="1" workbookViewId="0">
      <selection activeCell="B58" sqref="B58"/>
    </sheetView>
  </sheetViews>
  <sheetFormatPr defaultRowHeight="12.75"/>
  <cols>
    <col min="1" max="1" width="24.7109375" customWidth="1"/>
    <col min="4" max="4" width="17.85546875" customWidth="1"/>
    <col min="5" max="5" width="15.85546875" customWidth="1"/>
  </cols>
  <sheetData>
    <row r="1" spans="1:10" ht="19.5">
      <c r="A1" s="1" t="str">
        <f>ft_heiti</f>
        <v>Bókhald og kennsla ehf</v>
      </c>
      <c r="D1" s="2" t="s">
        <v>0</v>
      </c>
      <c r="F1" s="129" t="s">
        <v>141</v>
      </c>
    </row>
    <row r="2" spans="1:10">
      <c r="A2" t="str">
        <f>ft_kt</f>
        <v>510808-0530</v>
      </c>
    </row>
    <row r="3" spans="1:10">
      <c r="A3" t="str">
        <f>ft_heimili</f>
        <v>Brekkutanga 2</v>
      </c>
    </row>
    <row r="4" spans="1:10">
      <c r="A4" t="str">
        <f>ft_stadur</f>
        <v>270 Mosfellsbær</v>
      </c>
    </row>
    <row r="7" spans="1:10">
      <c r="A7" s="133"/>
      <c r="D7" s="48" t="s">
        <v>2</v>
      </c>
      <c r="E7" s="135"/>
    </row>
    <row r="8" spans="1:10">
      <c r="A8" s="133"/>
      <c r="D8" s="48" t="s">
        <v>1</v>
      </c>
      <c r="E8" s="3">
        <f>utdagur</f>
        <v>40209</v>
      </c>
    </row>
    <row r="9" spans="1:10">
      <c r="A9" s="134"/>
      <c r="D9" t="s">
        <v>3</v>
      </c>
      <c r="E9" t="str">
        <f>utbtimabil</f>
        <v>01.01.10-31.01.10</v>
      </c>
    </row>
    <row r="10" spans="1:10">
      <c r="D10" t="s">
        <v>4</v>
      </c>
      <c r="E10">
        <f>utbnr</f>
        <v>1</v>
      </c>
    </row>
    <row r="13" spans="1:10">
      <c r="A13" s="1" t="s">
        <v>5</v>
      </c>
      <c r="B13" s="1"/>
      <c r="C13" s="10" t="s">
        <v>20</v>
      </c>
      <c r="D13" s="10" t="s">
        <v>21</v>
      </c>
      <c r="E13" s="10" t="s">
        <v>22</v>
      </c>
      <c r="H13" s="11"/>
      <c r="I13" s="11"/>
      <c r="J13" s="11"/>
    </row>
    <row r="14" spans="1:10">
      <c r="A14" s="4"/>
      <c r="B14" s="4"/>
      <c r="C14" s="4"/>
      <c r="D14" s="4"/>
      <c r="E14" s="4"/>
      <c r="H14" s="11"/>
      <c r="I14" s="11"/>
      <c r="J14" s="11"/>
    </row>
    <row r="15" spans="1:10">
      <c r="A15" t="s">
        <v>6</v>
      </c>
      <c r="C15" s="7">
        <v>1</v>
      </c>
      <c r="D15" s="42">
        <v>245000</v>
      </c>
      <c r="E15" s="47">
        <f>C15*D15</f>
        <v>245000</v>
      </c>
      <c r="H15" s="11"/>
      <c r="I15" s="11"/>
      <c r="J15" s="11"/>
    </row>
    <row r="16" spans="1:10">
      <c r="A16" t="s">
        <v>7</v>
      </c>
      <c r="C16" s="7">
        <v>0</v>
      </c>
      <c r="D16" s="42">
        <v>0</v>
      </c>
      <c r="E16" s="47">
        <f>D16*C16</f>
        <v>0</v>
      </c>
      <c r="H16" s="11"/>
      <c r="I16" s="11"/>
      <c r="J16" s="11"/>
    </row>
    <row r="17" spans="1:10">
      <c r="A17" t="s">
        <v>25</v>
      </c>
      <c r="C17" s="7">
        <v>0</v>
      </c>
      <c r="D17" s="42"/>
      <c r="E17" s="47"/>
      <c r="H17" s="11"/>
      <c r="I17" s="11"/>
      <c r="J17" s="11"/>
    </row>
    <row r="18" spans="1:10">
      <c r="A18" t="s">
        <v>8</v>
      </c>
      <c r="C18" s="7">
        <v>0</v>
      </c>
      <c r="D18" s="42">
        <v>62</v>
      </c>
      <c r="E18" s="47">
        <f>D18*C18</f>
        <v>0</v>
      </c>
      <c r="H18" s="11"/>
      <c r="I18" s="11"/>
      <c r="J18" s="11"/>
    </row>
    <row r="19" spans="1:10">
      <c r="A19" t="s">
        <v>9</v>
      </c>
      <c r="C19" s="7">
        <v>0</v>
      </c>
      <c r="D19" s="42">
        <v>62</v>
      </c>
      <c r="E19" s="47">
        <f>D19*C19</f>
        <v>0</v>
      </c>
      <c r="H19" s="11"/>
      <c r="I19" s="11"/>
      <c r="J19" s="11"/>
    </row>
    <row r="20" spans="1:10">
      <c r="A20" t="s">
        <v>24</v>
      </c>
      <c r="C20" s="7">
        <v>0</v>
      </c>
      <c r="D20" s="42">
        <v>0</v>
      </c>
      <c r="E20" s="47">
        <f>D20*C20</f>
        <v>0</v>
      </c>
      <c r="H20" s="11"/>
      <c r="I20" s="11"/>
      <c r="J20" s="11"/>
    </row>
    <row r="21" spans="1:10">
      <c r="A21" t="s">
        <v>26</v>
      </c>
      <c r="C21" s="7"/>
      <c r="D21" s="6"/>
      <c r="E21" s="6"/>
      <c r="H21" s="11"/>
      <c r="I21" s="11"/>
      <c r="J21" s="11"/>
    </row>
    <row r="22" spans="1:10">
      <c r="A22" t="s">
        <v>27</v>
      </c>
      <c r="C22" s="6"/>
      <c r="D22" s="6"/>
      <c r="E22" s="6">
        <f>E16*0.1064</f>
        <v>0</v>
      </c>
      <c r="H22" s="11"/>
      <c r="I22" s="11"/>
      <c r="J22" s="11"/>
    </row>
    <row r="23" spans="1:10">
      <c r="C23" s="6"/>
      <c r="D23" s="6"/>
      <c r="E23" s="6"/>
      <c r="H23" s="11"/>
      <c r="I23" s="11"/>
      <c r="J23" s="11"/>
    </row>
    <row r="24" spans="1:10">
      <c r="C24" s="6"/>
      <c r="D24" s="6"/>
      <c r="E24" s="6"/>
      <c r="H24" s="11"/>
      <c r="I24" s="11"/>
      <c r="J24" s="11"/>
    </row>
    <row r="25" spans="1:10">
      <c r="A25" s="1" t="s">
        <v>99</v>
      </c>
      <c r="C25" s="6"/>
      <c r="D25" s="6"/>
      <c r="E25" s="8">
        <f>SUM(E15:E22)</f>
        <v>245000</v>
      </c>
      <c r="H25" s="11"/>
      <c r="I25" s="11"/>
      <c r="J25" s="11"/>
    </row>
    <row r="26" spans="1:10">
      <c r="A26" s="1" t="s">
        <v>10</v>
      </c>
      <c r="C26" s="6"/>
      <c r="D26" s="8">
        <f>(E15+E16+E20+E18)*0.96</f>
        <v>235200</v>
      </c>
      <c r="H26" s="11"/>
      <c r="I26" s="11"/>
      <c r="J26" s="11"/>
    </row>
    <row r="27" spans="1:10">
      <c r="A27" s="4"/>
      <c r="B27" s="4"/>
      <c r="C27" s="9"/>
      <c r="D27" s="9"/>
      <c r="E27" s="9"/>
      <c r="H27" s="11"/>
      <c r="I27" s="11"/>
      <c r="J27" s="11"/>
    </row>
    <row r="28" spans="1:10">
      <c r="A28" s="11"/>
      <c r="B28" s="11"/>
      <c r="C28" s="12"/>
      <c r="D28" s="12"/>
      <c r="E28" s="12"/>
      <c r="H28" s="11"/>
      <c r="I28" s="11"/>
      <c r="J28" s="11"/>
    </row>
    <row r="29" spans="1:10">
      <c r="A29" s="1" t="s">
        <v>11</v>
      </c>
      <c r="C29" s="6"/>
      <c r="D29" s="6"/>
      <c r="E29" s="6"/>
      <c r="H29" s="11"/>
      <c r="I29" s="11"/>
      <c r="J29" s="11"/>
    </row>
    <row r="30" spans="1:10">
      <c r="C30" s="6"/>
      <c r="D30" s="6"/>
      <c r="E30" s="6"/>
      <c r="H30" s="11"/>
      <c r="I30" s="11"/>
      <c r="J30" s="11"/>
    </row>
    <row r="31" spans="1:10">
      <c r="A31" s="13" t="s">
        <v>100</v>
      </c>
      <c r="C31" s="6"/>
      <c r="D31" s="6"/>
      <c r="E31" s="6">
        <f>(E15+E16+E22)*0.007</f>
        <v>1715</v>
      </c>
      <c r="H31" s="11"/>
      <c r="I31" s="11"/>
      <c r="J31" s="11"/>
    </row>
    <row r="32" spans="1:10">
      <c r="A32" t="s">
        <v>23</v>
      </c>
      <c r="C32" s="6"/>
      <c r="D32" s="6"/>
      <c r="E32" s="6">
        <f>(E15+E16+E22)*0.04</f>
        <v>9800</v>
      </c>
      <c r="H32" s="11"/>
      <c r="I32" s="11"/>
      <c r="J32" s="11"/>
    </row>
    <row r="33" spans="1:10">
      <c r="A33" s="13" t="s">
        <v>107</v>
      </c>
      <c r="C33" s="6"/>
      <c r="D33" s="6"/>
      <c r="E33" s="6">
        <f>(E15+E16+E22)*0</f>
        <v>0</v>
      </c>
      <c r="H33" s="11"/>
      <c r="I33" s="11"/>
      <c r="J33" s="11"/>
    </row>
    <row r="34" spans="1:10">
      <c r="A34" s="13" t="s">
        <v>24</v>
      </c>
      <c r="C34" s="6"/>
      <c r="D34" s="6"/>
      <c r="E34" s="6">
        <f>E20</f>
        <v>0</v>
      </c>
      <c r="H34" s="11"/>
      <c r="I34" s="11"/>
      <c r="J34" s="11"/>
    </row>
    <row r="35" spans="1:10">
      <c r="A35" t="s">
        <v>13</v>
      </c>
      <c r="C35" s="6"/>
      <c r="D35" s="6"/>
      <c r="E35" s="6">
        <v>0</v>
      </c>
      <c r="H35" s="11"/>
      <c r="I35" s="11"/>
      <c r="J35" s="11"/>
    </row>
    <row r="36" spans="1:10">
      <c r="C36" s="6"/>
      <c r="D36" s="6"/>
      <c r="E36" s="6"/>
    </row>
    <row r="37" spans="1:10">
      <c r="C37" s="6"/>
      <c r="D37" s="6"/>
      <c r="E37" s="6">
        <v>0</v>
      </c>
    </row>
    <row r="38" spans="1:10">
      <c r="A38" t="s">
        <v>14</v>
      </c>
      <c r="C38" s="6"/>
      <c r="D38" s="6"/>
      <c r="E38" s="6">
        <v>0</v>
      </c>
    </row>
    <row r="39" spans="1:10">
      <c r="A39" t="s">
        <v>15</v>
      </c>
      <c r="C39" s="6"/>
      <c r="D39" s="6"/>
      <c r="E39" s="6"/>
    </row>
    <row r="40" spans="1:10">
      <c r="C40" s="6"/>
      <c r="D40" s="6"/>
      <c r="E40" s="6"/>
    </row>
    <row r="41" spans="1:10">
      <c r="A41" t="s">
        <v>131</v>
      </c>
      <c r="C41" s="6"/>
      <c r="D41" s="6">
        <f>E58</f>
        <v>87541.439999999988</v>
      </c>
      <c r="E41" s="6"/>
    </row>
    <row r="42" spans="1:10">
      <c r="A42" t="s">
        <v>16</v>
      </c>
      <c r="C42" s="6"/>
      <c r="D42" s="6">
        <f>IF(D41=0,0,-personufradr)</f>
        <v>-44205</v>
      </c>
      <c r="E42" s="6"/>
      <c r="G42" s="126" t="s">
        <v>68</v>
      </c>
    </row>
    <row r="43" spans="1:10">
      <c r="A43" t="s">
        <v>17</v>
      </c>
      <c r="C43" s="6"/>
      <c r="D43" s="6"/>
      <c r="E43" s="6">
        <f>IF((D41+D42)&lt;0,0,D41+D42)</f>
        <v>43336.439999999988</v>
      </c>
      <c r="G43" s="6" t="s">
        <v>68</v>
      </c>
      <c r="H43" t="s">
        <v>68</v>
      </c>
    </row>
    <row r="44" spans="1:10">
      <c r="A44" s="1" t="s">
        <v>18</v>
      </c>
      <c r="C44" s="6"/>
      <c r="D44" s="6"/>
      <c r="E44" s="8">
        <f>SUM(E31:E43)</f>
        <v>54851.439999999988</v>
      </c>
      <c r="H44" s="1"/>
    </row>
    <row r="45" spans="1:10">
      <c r="A45" s="4"/>
      <c r="B45" s="4"/>
      <c r="C45" s="9"/>
      <c r="D45" s="9"/>
      <c r="E45" s="9"/>
    </row>
    <row r="46" spans="1:10">
      <c r="C46" s="6"/>
      <c r="D46" s="6"/>
      <c r="E46" s="6"/>
    </row>
    <row r="47" spans="1:10">
      <c r="A47" s="1" t="s">
        <v>19</v>
      </c>
      <c r="C47" s="6"/>
      <c r="D47" s="6"/>
      <c r="E47" s="8">
        <f>+E25-E44</f>
        <v>190148.56</v>
      </c>
    </row>
    <row r="48" spans="1:10">
      <c r="C48" s="6"/>
      <c r="D48" s="6"/>
      <c r="E48" s="6"/>
    </row>
    <row r="49" spans="1:5">
      <c r="C49" s="6"/>
      <c r="D49" s="6"/>
      <c r="E49" s="6"/>
    </row>
    <row r="51" spans="1:5">
      <c r="C51" s="105"/>
      <c r="D51" s="105"/>
      <c r="E51" s="105"/>
    </row>
    <row r="52" spans="1:5">
      <c r="C52" s="105"/>
      <c r="D52" s="105"/>
      <c r="E52" s="105"/>
    </row>
    <row r="53" spans="1:5">
      <c r="C53" s="105"/>
      <c r="D53" s="105"/>
      <c r="E53" s="105"/>
    </row>
    <row r="54" spans="1:5">
      <c r="C54" s="105"/>
      <c r="D54" s="105"/>
      <c r="E54" s="105"/>
    </row>
    <row r="55" spans="1:5">
      <c r="C55" s="105"/>
      <c r="D55" s="105"/>
      <c r="E55" s="105"/>
    </row>
    <row r="56" spans="1:5">
      <c r="B56" t="s">
        <v>132</v>
      </c>
    </row>
    <row r="57" spans="1:5">
      <c r="A57" s="11"/>
      <c r="B57" s="11"/>
    </row>
    <row r="58" spans="1:5">
      <c r="A58" s="11"/>
      <c r="B58" s="127">
        <f>IF(D26&lt;Grunnupplýsingar!D18,D26,Grunnupplýsingar!D18)</f>
        <v>235200</v>
      </c>
      <c r="C58" s="127">
        <f>IF(D26&gt;=Grunnupplýsingar!D19,Grunnupplýsingar!D19-Grunnupplýsingar!D18,D26-B58)</f>
        <v>0</v>
      </c>
      <c r="D58" s="127">
        <f>D26-B58-C58</f>
        <v>0</v>
      </c>
      <c r="E58" s="127">
        <f>IF((B58*skattur+C58*Grunnupplýsingar!C18+D58*Grunnupplýsingar!C19)&lt;0,0,(B58*skattur+C58*Grunnupplýsingar!C18+D58*Grunnupplýsingar!C19))</f>
        <v>87541.439999999988</v>
      </c>
    </row>
    <row r="59" spans="1:5">
      <c r="A59" s="11"/>
      <c r="B59" s="11"/>
    </row>
  </sheetData>
  <phoneticPr fontId="4" type="noConversion"/>
  <hyperlinks>
    <hyperlink ref="F1" location="Grunnupplýsingar!A1" display="Heim"/>
  </hyperlink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59"/>
  <sheetViews>
    <sheetView view="pageBreakPreview" topLeftCell="A5" zoomScale="110" zoomScaleNormal="100" zoomScaleSheetLayoutView="110" workbookViewId="0">
      <selection activeCell="C21" sqref="C21"/>
    </sheetView>
  </sheetViews>
  <sheetFormatPr defaultRowHeight="12.75"/>
  <cols>
    <col min="1" max="1" width="24.7109375" customWidth="1"/>
    <col min="4" max="4" width="17.85546875" customWidth="1"/>
    <col min="5" max="5" width="15.85546875" customWidth="1"/>
  </cols>
  <sheetData>
    <row r="1" spans="1:6" ht="19.5">
      <c r="A1" s="1" t="str">
        <f>ft_heiti</f>
        <v>Bókhald og kennsla ehf</v>
      </c>
      <c r="D1" s="2" t="s">
        <v>0</v>
      </c>
      <c r="F1" s="129" t="s">
        <v>141</v>
      </c>
    </row>
    <row r="2" spans="1:6">
      <c r="A2" t="str">
        <f>ft_kt</f>
        <v>510808-0530</v>
      </c>
    </row>
    <row r="3" spans="1:6">
      <c r="A3" t="str">
        <f>ft_heimili</f>
        <v>Brekkutanga 2</v>
      </c>
    </row>
    <row r="4" spans="1:6">
      <c r="A4" t="str">
        <f>ft_stadur</f>
        <v>270 Mosfellsbær</v>
      </c>
    </row>
    <row r="7" spans="1:6">
      <c r="A7" s="133"/>
      <c r="D7" s="48" t="s">
        <v>2</v>
      </c>
      <c r="E7" s="136"/>
    </row>
    <row r="8" spans="1:6">
      <c r="A8" s="134"/>
      <c r="D8" s="48" t="s">
        <v>1</v>
      </c>
      <c r="E8" s="3">
        <f>utdagur</f>
        <v>40209</v>
      </c>
    </row>
    <row r="9" spans="1:6">
      <c r="A9" s="134"/>
      <c r="D9" t="s">
        <v>3</v>
      </c>
      <c r="E9" t="str">
        <f>utbtimabil</f>
        <v>01.01.10-31.01.10</v>
      </c>
    </row>
    <row r="10" spans="1:6">
      <c r="D10" t="s">
        <v>4</v>
      </c>
      <c r="E10">
        <f>utbnr</f>
        <v>1</v>
      </c>
    </row>
    <row r="13" spans="1:6">
      <c r="A13" s="1" t="s">
        <v>5</v>
      </c>
      <c r="B13" s="1"/>
      <c r="C13" s="10" t="s">
        <v>20</v>
      </c>
      <c r="D13" s="10" t="s">
        <v>21</v>
      </c>
      <c r="E13" s="10" t="s">
        <v>22</v>
      </c>
    </row>
    <row r="14" spans="1:6">
      <c r="A14" s="4"/>
      <c r="B14" s="4"/>
      <c r="C14" s="4"/>
      <c r="D14" s="4"/>
      <c r="E14" s="4"/>
    </row>
    <row r="15" spans="1:6">
      <c r="A15" t="s">
        <v>6</v>
      </c>
      <c r="C15" s="7">
        <v>0</v>
      </c>
      <c r="D15" s="42">
        <v>245000</v>
      </c>
      <c r="E15" s="47">
        <f>C15*D15</f>
        <v>0</v>
      </c>
    </row>
    <row r="16" spans="1:6">
      <c r="A16" t="s">
        <v>7</v>
      </c>
      <c r="C16" s="7">
        <v>0</v>
      </c>
      <c r="D16" s="42">
        <v>0</v>
      </c>
      <c r="E16" s="47">
        <f>D16*C16</f>
        <v>0</v>
      </c>
    </row>
    <row r="17" spans="1:5">
      <c r="A17" t="s">
        <v>25</v>
      </c>
      <c r="C17" s="7"/>
      <c r="D17" s="42"/>
      <c r="E17" s="47"/>
    </row>
    <row r="18" spans="1:5">
      <c r="A18" t="s">
        <v>8</v>
      </c>
      <c r="C18" s="7">
        <v>0</v>
      </c>
      <c r="D18" s="42">
        <v>62</v>
      </c>
      <c r="E18" s="47">
        <f>D18*C18</f>
        <v>0</v>
      </c>
    </row>
    <row r="19" spans="1:5">
      <c r="A19" t="s">
        <v>9</v>
      </c>
      <c r="C19" s="7">
        <v>0</v>
      </c>
      <c r="D19" s="42">
        <v>62</v>
      </c>
      <c r="E19" s="47">
        <f>D19*C19</f>
        <v>0</v>
      </c>
    </row>
    <row r="20" spans="1:5">
      <c r="A20" t="s">
        <v>24</v>
      </c>
      <c r="C20" s="7">
        <v>0</v>
      </c>
      <c r="D20" s="42">
        <v>0</v>
      </c>
      <c r="E20" s="47">
        <f>D20*C20</f>
        <v>0</v>
      </c>
    </row>
    <row r="21" spans="1:5">
      <c r="A21" t="s">
        <v>26</v>
      </c>
      <c r="C21" s="7"/>
      <c r="D21" s="6"/>
      <c r="E21" s="6"/>
    </row>
    <row r="22" spans="1:5">
      <c r="A22" t="s">
        <v>27</v>
      </c>
      <c r="C22" s="6"/>
      <c r="D22" s="6"/>
      <c r="E22" s="6">
        <f>E16*0.1064</f>
        <v>0</v>
      </c>
    </row>
    <row r="23" spans="1:5">
      <c r="C23" s="6"/>
      <c r="D23" s="6"/>
      <c r="E23" s="6"/>
    </row>
    <row r="24" spans="1:5">
      <c r="C24" s="6"/>
      <c r="D24" s="6"/>
      <c r="E24" s="6"/>
    </row>
    <row r="25" spans="1:5">
      <c r="A25" s="1" t="s">
        <v>99</v>
      </c>
      <c r="C25" s="6"/>
      <c r="D25" s="6"/>
      <c r="E25" s="8">
        <f>SUM(E15:E22)</f>
        <v>0</v>
      </c>
    </row>
    <row r="26" spans="1:5">
      <c r="A26" s="1" t="s">
        <v>10</v>
      </c>
      <c r="C26" s="6"/>
      <c r="D26" s="8">
        <f>(E15+E16+E20+E18)*0.96</f>
        <v>0</v>
      </c>
    </row>
    <row r="27" spans="1:5">
      <c r="A27" s="4"/>
      <c r="B27" s="4"/>
      <c r="C27" s="9"/>
      <c r="D27" s="9"/>
      <c r="E27" s="9"/>
    </row>
    <row r="28" spans="1:5">
      <c r="A28" s="11"/>
      <c r="B28" s="11"/>
      <c r="C28" s="12"/>
      <c r="D28" s="12"/>
      <c r="E28" s="12"/>
    </row>
    <row r="29" spans="1:5">
      <c r="A29" s="1" t="s">
        <v>11</v>
      </c>
      <c r="C29" s="6"/>
      <c r="D29" s="6"/>
      <c r="E29" s="6"/>
    </row>
    <row r="30" spans="1:5">
      <c r="C30" s="6"/>
      <c r="D30" s="6"/>
      <c r="E30" s="6"/>
    </row>
    <row r="31" spans="1:5">
      <c r="A31" s="13" t="s">
        <v>100</v>
      </c>
      <c r="C31" s="6"/>
      <c r="D31" s="6"/>
      <c r="E31" s="6">
        <f>(E15+E16+E22)*0.007</f>
        <v>0</v>
      </c>
    </row>
    <row r="32" spans="1:5">
      <c r="A32" t="s">
        <v>23</v>
      </c>
      <c r="C32" s="6"/>
      <c r="D32" s="6"/>
      <c r="E32" s="6">
        <f>(E15+E16+E22)*0.04</f>
        <v>0</v>
      </c>
    </row>
    <row r="33" spans="1:8">
      <c r="A33" s="13" t="s">
        <v>107</v>
      </c>
      <c r="C33" s="6"/>
      <c r="D33" s="6"/>
      <c r="E33" s="6">
        <f>(E15+E16+E22)*0</f>
        <v>0</v>
      </c>
    </row>
    <row r="34" spans="1:8">
      <c r="A34" s="13" t="s">
        <v>24</v>
      </c>
      <c r="C34" s="6"/>
      <c r="D34" s="6"/>
      <c r="E34" s="6">
        <f>E20</f>
        <v>0</v>
      </c>
    </row>
    <row r="35" spans="1:8">
      <c r="A35" t="s">
        <v>13</v>
      </c>
      <c r="C35" s="6"/>
      <c r="D35" s="6"/>
      <c r="E35" s="6">
        <v>0</v>
      </c>
    </row>
    <row r="36" spans="1:8">
      <c r="C36" s="6"/>
      <c r="D36" s="6"/>
      <c r="E36" s="6"/>
    </row>
    <row r="37" spans="1:8">
      <c r="C37" s="6"/>
      <c r="D37" s="6"/>
      <c r="E37" s="6">
        <v>0</v>
      </c>
    </row>
    <row r="38" spans="1:8">
      <c r="A38" t="s">
        <v>14</v>
      </c>
      <c r="C38" s="6"/>
      <c r="D38" s="6"/>
      <c r="E38" s="6">
        <v>0</v>
      </c>
    </row>
    <row r="39" spans="1:8">
      <c r="A39" t="s">
        <v>15</v>
      </c>
      <c r="C39" s="6"/>
      <c r="D39" s="6"/>
      <c r="E39" s="6"/>
    </row>
    <row r="40" spans="1:8">
      <c r="C40" s="6"/>
      <c r="D40" s="6"/>
      <c r="E40" s="6"/>
    </row>
    <row r="41" spans="1:8">
      <c r="A41" t="s">
        <v>131</v>
      </c>
      <c r="C41" s="6"/>
      <c r="D41" s="6">
        <f>E58</f>
        <v>0</v>
      </c>
      <c r="E41" s="6"/>
    </row>
    <row r="42" spans="1:8">
      <c r="A42" t="s">
        <v>16</v>
      </c>
      <c r="C42" s="6"/>
      <c r="D42" s="6">
        <f>IF(D41=0,0,-personufradr)</f>
        <v>0</v>
      </c>
      <c r="E42" s="6"/>
    </row>
    <row r="43" spans="1:8">
      <c r="A43" t="s">
        <v>17</v>
      </c>
      <c r="C43" s="6"/>
      <c r="D43" s="6"/>
      <c r="E43" s="6">
        <f>IF((D41+D42)&lt;0,0,D41+D42)</f>
        <v>0</v>
      </c>
      <c r="G43" s="6"/>
      <c r="H43" s="1"/>
    </row>
    <row r="44" spans="1:8">
      <c r="A44" s="1" t="s">
        <v>18</v>
      </c>
      <c r="C44" s="6"/>
      <c r="D44" s="6"/>
      <c r="E44" s="8">
        <f>SUM(E31:E43)</f>
        <v>0</v>
      </c>
    </row>
    <row r="45" spans="1:8">
      <c r="A45" s="4"/>
      <c r="B45" s="4"/>
      <c r="C45" s="9"/>
      <c r="D45" s="9"/>
      <c r="E45" s="9"/>
    </row>
    <row r="46" spans="1:8">
      <c r="C46" s="6"/>
      <c r="D46" s="6"/>
      <c r="E46" s="6"/>
    </row>
    <row r="47" spans="1:8">
      <c r="A47" s="1" t="s">
        <v>19</v>
      </c>
      <c r="C47" s="6"/>
      <c r="D47" s="6"/>
      <c r="E47" s="8">
        <f>+E25-E44</f>
        <v>0</v>
      </c>
    </row>
    <row r="48" spans="1:8">
      <c r="C48" s="6"/>
      <c r="D48" s="6"/>
      <c r="E48" s="6"/>
    </row>
    <row r="49" spans="1:5">
      <c r="C49" s="6"/>
      <c r="D49" s="6"/>
      <c r="E49" s="6"/>
    </row>
    <row r="51" spans="1:5">
      <c r="C51" s="105"/>
      <c r="D51" s="105"/>
      <c r="E51" s="105"/>
    </row>
    <row r="52" spans="1:5">
      <c r="C52" s="105"/>
      <c r="D52" s="105"/>
      <c r="E52" s="105"/>
    </row>
    <row r="53" spans="1:5">
      <c r="C53" s="105"/>
      <c r="D53" s="105"/>
      <c r="E53" s="105"/>
    </row>
    <row r="54" spans="1:5">
      <c r="C54" s="105"/>
      <c r="D54" s="105"/>
      <c r="E54" s="105"/>
    </row>
    <row r="55" spans="1:5">
      <c r="C55" s="105"/>
      <c r="D55" s="105"/>
      <c r="E55" s="105"/>
    </row>
    <row r="56" spans="1:5">
      <c r="B56" t="s">
        <v>132</v>
      </c>
    </row>
    <row r="57" spans="1:5">
      <c r="A57" s="11"/>
      <c r="B57" s="11"/>
    </row>
    <row r="58" spans="1:5">
      <c r="A58" s="11"/>
      <c r="B58" s="127">
        <f>IF(D26&lt;Grunnupplýsingar!D18,D26,Grunnupplýsingar!D18)</f>
        <v>0</v>
      </c>
      <c r="C58" s="127">
        <f>IF(D26&gt;=Grunnupplýsingar!D19,Grunnupplýsingar!D19-Grunnupplýsingar!D18,D26-B58)</f>
        <v>0</v>
      </c>
      <c r="D58" s="127">
        <f>D26-B58-C58</f>
        <v>0</v>
      </c>
      <c r="E58" s="127">
        <f>IF((B58*skattur+C58*Grunnupplýsingar!C18+D58*Grunnupplýsingar!C19)&lt;0,0,(B58*skattur+C58*Grunnupplýsingar!C18+D58*Grunnupplýsingar!C19))</f>
        <v>0</v>
      </c>
    </row>
    <row r="59" spans="1:5">
      <c r="A59" s="11"/>
      <c r="B59" s="11"/>
    </row>
  </sheetData>
  <phoneticPr fontId="4" type="noConversion"/>
  <hyperlinks>
    <hyperlink ref="F1" location="Grunnupplýsingar!A1" display="Heim"/>
  </hyperlink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59"/>
  <sheetViews>
    <sheetView topLeftCell="A6" workbookViewId="0">
      <selection activeCell="C21" sqref="C21"/>
    </sheetView>
  </sheetViews>
  <sheetFormatPr defaultRowHeight="12.75"/>
  <cols>
    <col min="1" max="1" width="29" bestFit="1" customWidth="1"/>
    <col min="4" max="4" width="15.5703125" customWidth="1"/>
    <col min="5" max="5" width="15.28515625" customWidth="1"/>
  </cols>
  <sheetData>
    <row r="1" spans="1:6" ht="19.5">
      <c r="A1" s="1" t="str">
        <f>ft_heiti</f>
        <v>Bókhald og kennsla ehf</v>
      </c>
      <c r="D1" s="2" t="s">
        <v>0</v>
      </c>
      <c r="F1" s="129" t="s">
        <v>141</v>
      </c>
    </row>
    <row r="2" spans="1:6">
      <c r="A2" t="str">
        <f>ft_kt</f>
        <v>510808-0530</v>
      </c>
    </row>
    <row r="3" spans="1:6">
      <c r="A3" t="str">
        <f>ft_heimili</f>
        <v>Brekkutanga 2</v>
      </c>
    </row>
    <row r="4" spans="1:6">
      <c r="A4" t="str">
        <f>ft_stadur</f>
        <v>270 Mosfellsbær</v>
      </c>
    </row>
    <row r="7" spans="1:6">
      <c r="A7" s="133"/>
      <c r="D7" s="48" t="s">
        <v>2</v>
      </c>
      <c r="E7" s="136"/>
    </row>
    <row r="8" spans="1:6">
      <c r="A8" s="134"/>
      <c r="D8" s="48" t="s">
        <v>1</v>
      </c>
      <c r="E8" s="3">
        <f>utdagur</f>
        <v>40209</v>
      </c>
    </row>
    <row r="9" spans="1:6">
      <c r="A9" s="134"/>
      <c r="D9" t="s">
        <v>3</v>
      </c>
      <c r="E9" t="str">
        <f>utbtimabil</f>
        <v>01.01.10-31.01.10</v>
      </c>
    </row>
    <row r="10" spans="1:6">
      <c r="D10" t="s">
        <v>4</v>
      </c>
      <c r="E10">
        <f>utbnr</f>
        <v>1</v>
      </c>
    </row>
    <row r="13" spans="1:6">
      <c r="A13" s="1" t="s">
        <v>5</v>
      </c>
      <c r="B13" s="1"/>
      <c r="C13" s="10" t="s">
        <v>20</v>
      </c>
      <c r="D13" s="10" t="s">
        <v>21</v>
      </c>
      <c r="E13" s="10" t="s">
        <v>22</v>
      </c>
    </row>
    <row r="14" spans="1:6">
      <c r="A14" s="4"/>
      <c r="B14" s="4"/>
      <c r="C14" s="4"/>
      <c r="D14" s="4"/>
      <c r="E14" s="4"/>
    </row>
    <row r="15" spans="1:6">
      <c r="A15" t="s">
        <v>6</v>
      </c>
      <c r="C15" s="7">
        <v>0</v>
      </c>
      <c r="D15" s="42">
        <v>245000</v>
      </c>
      <c r="E15" s="47">
        <f>C15*D15</f>
        <v>0</v>
      </c>
    </row>
    <row r="16" spans="1:6">
      <c r="A16" t="s">
        <v>7</v>
      </c>
      <c r="C16" s="7">
        <v>0</v>
      </c>
      <c r="D16" s="42">
        <v>0</v>
      </c>
      <c r="E16" s="47">
        <f>D16*C16</f>
        <v>0</v>
      </c>
    </row>
    <row r="17" spans="1:5">
      <c r="A17" t="s">
        <v>25</v>
      </c>
      <c r="C17" s="7"/>
      <c r="D17" s="42"/>
      <c r="E17" s="47"/>
    </row>
    <row r="18" spans="1:5">
      <c r="A18" t="s">
        <v>8</v>
      </c>
      <c r="C18" s="7">
        <v>0</v>
      </c>
      <c r="D18" s="42">
        <v>62</v>
      </c>
      <c r="E18" s="47">
        <f>D18*C18</f>
        <v>0</v>
      </c>
    </row>
    <row r="19" spans="1:5">
      <c r="A19" t="s">
        <v>9</v>
      </c>
      <c r="C19" s="7">
        <v>0</v>
      </c>
      <c r="D19" s="42">
        <v>62</v>
      </c>
      <c r="E19" s="47">
        <f>D19*C19</f>
        <v>0</v>
      </c>
    </row>
    <row r="20" spans="1:5">
      <c r="A20" t="s">
        <v>24</v>
      </c>
      <c r="C20" s="7">
        <v>0</v>
      </c>
      <c r="D20" s="42">
        <v>0</v>
      </c>
      <c r="E20" s="47">
        <f>D20*C20</f>
        <v>0</v>
      </c>
    </row>
    <row r="21" spans="1:5">
      <c r="A21" t="s">
        <v>26</v>
      </c>
      <c r="C21" s="137" t="s">
        <v>142</v>
      </c>
      <c r="D21" s="6"/>
      <c r="E21" s="6"/>
    </row>
    <row r="22" spans="1:5">
      <c r="A22" t="s">
        <v>27</v>
      </c>
      <c r="C22" s="6"/>
      <c r="D22" s="6"/>
      <c r="E22" s="6">
        <f>E16*0.1064</f>
        <v>0</v>
      </c>
    </row>
    <row r="23" spans="1:5">
      <c r="C23" s="6"/>
      <c r="D23" s="6"/>
      <c r="E23" s="6"/>
    </row>
    <row r="24" spans="1:5">
      <c r="C24" s="6"/>
      <c r="D24" s="6"/>
      <c r="E24" s="6"/>
    </row>
    <row r="25" spans="1:5">
      <c r="A25" s="1" t="s">
        <v>99</v>
      </c>
      <c r="C25" s="6"/>
      <c r="D25" s="6"/>
      <c r="E25" s="8">
        <f>SUM(E15:E22)</f>
        <v>0</v>
      </c>
    </row>
    <row r="26" spans="1:5">
      <c r="A26" s="1" t="s">
        <v>10</v>
      </c>
      <c r="C26" s="6"/>
      <c r="D26" s="8">
        <f>(E15+E16+E20+E18)*0.96</f>
        <v>0</v>
      </c>
    </row>
    <row r="27" spans="1:5">
      <c r="A27" s="4"/>
      <c r="B27" s="4"/>
      <c r="C27" s="9"/>
      <c r="D27" s="9"/>
      <c r="E27" s="9"/>
    </row>
    <row r="28" spans="1:5">
      <c r="A28" s="11"/>
      <c r="B28" s="11"/>
      <c r="C28" s="12"/>
      <c r="D28" s="12"/>
      <c r="E28" s="12"/>
    </row>
    <row r="29" spans="1:5">
      <c r="A29" s="1" t="s">
        <v>11</v>
      </c>
      <c r="C29" s="6"/>
      <c r="D29" s="6"/>
      <c r="E29" s="6"/>
    </row>
    <row r="30" spans="1:5">
      <c r="C30" s="6"/>
      <c r="D30" s="6"/>
      <c r="E30" s="6"/>
    </row>
    <row r="31" spans="1:5">
      <c r="A31" s="13" t="s">
        <v>100</v>
      </c>
      <c r="C31" s="6"/>
      <c r="D31" s="6"/>
      <c r="E31" s="6">
        <f>(E15+E16+E22)*0.007</f>
        <v>0</v>
      </c>
    </row>
    <row r="32" spans="1:5">
      <c r="A32" t="s">
        <v>23</v>
      </c>
      <c r="C32" s="6"/>
      <c r="D32" s="6"/>
      <c r="E32" s="6">
        <f>(E15+E16+E22)*0.04</f>
        <v>0</v>
      </c>
    </row>
    <row r="33" spans="1:8">
      <c r="A33" s="13" t="s">
        <v>107</v>
      </c>
      <c r="C33" s="6"/>
      <c r="D33" s="6"/>
      <c r="E33" s="6">
        <f>(E15+E16+E22)*0</f>
        <v>0</v>
      </c>
    </row>
    <row r="34" spans="1:8">
      <c r="A34" s="13" t="s">
        <v>24</v>
      </c>
      <c r="C34" s="6"/>
      <c r="D34" s="6"/>
      <c r="E34" s="6">
        <f>E20</f>
        <v>0</v>
      </c>
    </row>
    <row r="35" spans="1:8">
      <c r="A35" t="s">
        <v>13</v>
      </c>
      <c r="C35" s="6"/>
      <c r="D35" s="6"/>
      <c r="E35" s="6">
        <v>0</v>
      </c>
    </row>
    <row r="36" spans="1:8">
      <c r="C36" s="6"/>
      <c r="D36" s="6"/>
      <c r="E36" s="6"/>
    </row>
    <row r="37" spans="1:8">
      <c r="C37" s="6"/>
      <c r="D37" s="6"/>
      <c r="E37" s="6">
        <v>0</v>
      </c>
    </row>
    <row r="38" spans="1:8">
      <c r="A38" t="s">
        <v>14</v>
      </c>
      <c r="C38" s="6"/>
      <c r="D38" s="6"/>
      <c r="E38" s="6">
        <v>0</v>
      </c>
    </row>
    <row r="39" spans="1:8">
      <c r="A39" t="s">
        <v>15</v>
      </c>
      <c r="C39" s="6"/>
      <c r="D39" s="6"/>
      <c r="E39" s="6"/>
    </row>
    <row r="40" spans="1:8">
      <c r="C40" s="6"/>
      <c r="D40" s="6"/>
      <c r="E40" s="6"/>
    </row>
    <row r="41" spans="1:8">
      <c r="A41" t="s">
        <v>131</v>
      </c>
      <c r="C41" s="6"/>
      <c r="D41" s="6">
        <f>E58</f>
        <v>0</v>
      </c>
      <c r="E41" s="6"/>
    </row>
    <row r="42" spans="1:8">
      <c r="A42" t="s">
        <v>16</v>
      </c>
      <c r="C42" s="6"/>
      <c r="D42" s="6">
        <f>IF(D41=0,0,-personufradr)</f>
        <v>0</v>
      </c>
      <c r="E42" s="6"/>
    </row>
    <row r="43" spans="1:8">
      <c r="A43" t="s">
        <v>17</v>
      </c>
      <c r="C43" s="6"/>
      <c r="D43" s="6"/>
      <c r="E43" s="6">
        <f>IF((D41+D42)&lt;0,0,D41+D42)</f>
        <v>0</v>
      </c>
      <c r="H43" s="1"/>
    </row>
    <row r="44" spans="1:8">
      <c r="A44" s="1" t="s">
        <v>18</v>
      </c>
      <c r="C44" s="6"/>
      <c r="D44" s="6"/>
      <c r="E44" s="8">
        <f>SUM(E31:E43)</f>
        <v>0</v>
      </c>
    </row>
    <row r="45" spans="1:8">
      <c r="A45" s="4"/>
      <c r="B45" s="4"/>
      <c r="C45" s="9"/>
      <c r="D45" s="9"/>
      <c r="E45" s="9"/>
    </row>
    <row r="46" spans="1:8">
      <c r="C46" s="6"/>
      <c r="D46" s="6"/>
      <c r="E46" s="6"/>
    </row>
    <row r="47" spans="1:8">
      <c r="A47" s="1" t="s">
        <v>19</v>
      </c>
      <c r="C47" s="6"/>
      <c r="D47" s="6"/>
      <c r="E47" s="8">
        <f>+E25-E44</f>
        <v>0</v>
      </c>
    </row>
    <row r="48" spans="1:8">
      <c r="C48" s="6"/>
      <c r="D48" s="6"/>
      <c r="E48" s="6"/>
    </row>
    <row r="49" spans="1:5">
      <c r="C49" s="6"/>
      <c r="D49" s="6"/>
      <c r="E49" s="6"/>
    </row>
    <row r="51" spans="1:5">
      <c r="C51" s="105"/>
      <c r="D51" s="105"/>
      <c r="E51" s="105"/>
    </row>
    <row r="52" spans="1:5">
      <c r="C52" s="105"/>
      <c r="D52" s="105"/>
      <c r="E52" s="105"/>
    </row>
    <row r="53" spans="1:5">
      <c r="C53" s="105"/>
      <c r="D53" s="105"/>
      <c r="E53" s="105"/>
    </row>
    <row r="54" spans="1:5">
      <c r="C54" s="105"/>
      <c r="D54" s="105"/>
      <c r="E54" s="105"/>
    </row>
    <row r="55" spans="1:5">
      <c r="C55" s="105"/>
      <c r="D55" s="105"/>
      <c r="E55" s="105"/>
    </row>
    <row r="56" spans="1:5">
      <c r="B56" t="s">
        <v>132</v>
      </c>
    </row>
    <row r="57" spans="1:5">
      <c r="A57" s="11"/>
      <c r="B57" s="11"/>
    </row>
    <row r="58" spans="1:5">
      <c r="A58" s="11"/>
      <c r="B58" s="127">
        <f>IF(D26&lt;Grunnupplýsingar!D18,D26,Grunnupplýsingar!D18)</f>
        <v>0</v>
      </c>
      <c r="C58" s="127">
        <f>IF(D26&gt;=Grunnupplýsingar!D19,Grunnupplýsingar!D19-Grunnupplýsingar!D18,D26-B58)</f>
        <v>0</v>
      </c>
      <c r="D58" s="127">
        <f>D26-B58-C58</f>
        <v>0</v>
      </c>
      <c r="E58" s="127">
        <f>IF((B58*skattur+C58*Grunnupplýsingar!C18+D58*Grunnupplýsingar!C19)&lt;0,0,(B58*skattur+C58*Grunnupplýsingar!C18+D58*Grunnupplýsingar!C19))</f>
        <v>0</v>
      </c>
    </row>
    <row r="59" spans="1:5">
      <c r="A59" s="11"/>
      <c r="B59" s="11"/>
    </row>
  </sheetData>
  <phoneticPr fontId="4" type="noConversion"/>
  <hyperlinks>
    <hyperlink ref="F1" location="Grunnupplýsingar!A1" display="Heim"/>
  </hyperlink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I19"/>
  <sheetViews>
    <sheetView workbookViewId="0">
      <selection activeCell="C18" sqref="C18"/>
    </sheetView>
  </sheetViews>
  <sheetFormatPr defaultRowHeight="12.75"/>
  <cols>
    <col min="1" max="1" width="25" customWidth="1"/>
    <col min="2" max="3" width="11.7109375" customWidth="1"/>
    <col min="4" max="4" width="15.7109375" customWidth="1"/>
    <col min="5" max="5" width="8.140625" customWidth="1"/>
    <col min="6" max="6" width="2.42578125" customWidth="1"/>
    <col min="7" max="7" width="1.85546875" customWidth="1"/>
  </cols>
  <sheetData>
    <row r="1" spans="1:9" ht="19.5">
      <c r="A1" s="2" t="s">
        <v>29</v>
      </c>
      <c r="D1" s="20">
        <f>utmanudur</f>
        <v>40208</v>
      </c>
      <c r="H1" s="129" t="s">
        <v>141</v>
      </c>
    </row>
    <row r="2" spans="1:9">
      <c r="I2" t="s">
        <v>68</v>
      </c>
    </row>
    <row r="4" spans="1:9">
      <c r="A4" s="1" t="s">
        <v>32</v>
      </c>
      <c r="D4" s="1" t="s">
        <v>33</v>
      </c>
    </row>
    <row r="5" spans="1:9">
      <c r="A5" s="1" t="str">
        <f>ft_heiti</f>
        <v>Bókhald og kennsla ehf</v>
      </c>
      <c r="D5" t="s">
        <v>12</v>
      </c>
    </row>
    <row r="6" spans="1:9">
      <c r="A6" t="str">
        <f>ft_kt</f>
        <v>510808-0530</v>
      </c>
      <c r="D6" t="s">
        <v>34</v>
      </c>
    </row>
    <row r="7" spans="1:9">
      <c r="A7" t="str">
        <f>ft_heimili</f>
        <v>Brekkutanga 2</v>
      </c>
      <c r="D7" t="s">
        <v>35</v>
      </c>
    </row>
    <row r="8" spans="1:9">
      <c r="A8" t="str">
        <f>ft_stadur</f>
        <v>270 Mosfellsbær</v>
      </c>
      <c r="D8" t="s">
        <v>36</v>
      </c>
    </row>
    <row r="9" spans="1:9">
      <c r="A9" s="13"/>
    </row>
    <row r="10" spans="1:9">
      <c r="A10" s="13"/>
    </row>
    <row r="12" spans="1:9">
      <c r="A12" s="1" t="s">
        <v>30</v>
      </c>
      <c r="B12" s="25" t="s">
        <v>31</v>
      </c>
      <c r="C12" s="25" t="s">
        <v>37</v>
      </c>
    </row>
    <row r="13" spans="1:9">
      <c r="A13">
        <f>'Launaseðill 1'!A7</f>
        <v>0</v>
      </c>
      <c r="B13" s="5">
        <f>'Launaseðill 1'!E7</f>
        <v>0</v>
      </c>
      <c r="C13" s="6">
        <f>+'Launaseðill 1'!E32</f>
        <v>9800</v>
      </c>
    </row>
    <row r="14" spans="1:9">
      <c r="A14">
        <f>'Launaseðill 2'!A7</f>
        <v>0</v>
      </c>
      <c r="B14" s="17">
        <f>'Launaseðill 2'!E7</f>
        <v>0</v>
      </c>
      <c r="C14" s="6">
        <f>+'Launaseðill 2'!E32</f>
        <v>0</v>
      </c>
    </row>
    <row r="15" spans="1:9">
      <c r="A15">
        <f>'Launaseðill 3'!A7</f>
        <v>0</v>
      </c>
      <c r="B15" s="5">
        <f>'Launaseðill 3'!E7</f>
        <v>0</v>
      </c>
      <c r="C15" s="6">
        <f>+'Launaseðill 3'!E32</f>
        <v>0</v>
      </c>
    </row>
    <row r="17" spans="1:3">
      <c r="A17" t="s">
        <v>38</v>
      </c>
      <c r="C17" s="47">
        <f>SUM(C13:C16)</f>
        <v>9800</v>
      </c>
    </row>
    <row r="18" spans="1:3">
      <c r="A18" t="s">
        <v>65</v>
      </c>
      <c r="C18" s="49">
        <f>+C17/4*8</f>
        <v>19600</v>
      </c>
    </row>
    <row r="19" spans="1:3">
      <c r="A19" s="1" t="s">
        <v>39</v>
      </c>
      <c r="B19" s="1"/>
      <c r="C19" s="50">
        <f>SUM(C17:C18)</f>
        <v>29400</v>
      </c>
    </row>
  </sheetData>
  <phoneticPr fontId="4" type="noConversion"/>
  <hyperlinks>
    <hyperlink ref="H1" location="Grunnupplýsingar!A1" display="Heim"/>
  </hyperlink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G25"/>
  <sheetViews>
    <sheetView workbookViewId="0">
      <selection activeCell="G1" sqref="G1:G2"/>
    </sheetView>
  </sheetViews>
  <sheetFormatPr defaultRowHeight="12.75"/>
  <cols>
    <col min="1" max="1" width="25" customWidth="1"/>
    <col min="2" max="3" width="15.7109375" customWidth="1"/>
    <col min="4" max="5" width="12.85546875" customWidth="1"/>
  </cols>
  <sheetData>
    <row r="1" spans="1:7" ht="19.5">
      <c r="A1" s="2" t="s">
        <v>40</v>
      </c>
      <c r="E1" s="20">
        <f>utmanudur</f>
        <v>40208</v>
      </c>
      <c r="G1" s="129" t="s">
        <v>141</v>
      </c>
    </row>
    <row r="4" spans="1:7">
      <c r="A4" s="1" t="s">
        <v>32</v>
      </c>
      <c r="D4" s="1" t="s">
        <v>33</v>
      </c>
    </row>
    <row r="5" spans="1:7">
      <c r="A5" s="1" t="str">
        <f>ft_heiti</f>
        <v>Bókhald og kennsla ehf</v>
      </c>
      <c r="D5" t="s">
        <v>41</v>
      </c>
    </row>
    <row r="6" spans="1:7">
      <c r="A6" t="str">
        <f>ft_kt</f>
        <v>510808-0530</v>
      </c>
      <c r="D6" t="s">
        <v>42</v>
      </c>
    </row>
    <row r="7" spans="1:7">
      <c r="A7" t="str">
        <f>ft_heimili</f>
        <v>Brekkutanga 2</v>
      </c>
      <c r="D7" t="s">
        <v>43</v>
      </c>
    </row>
    <row r="8" spans="1:7">
      <c r="A8" t="str">
        <f>ft_stadur</f>
        <v>270 Mosfellsbær</v>
      </c>
      <c r="D8" t="s">
        <v>44</v>
      </c>
    </row>
    <row r="9" spans="1:7">
      <c r="A9" s="13"/>
    </row>
    <row r="10" spans="1:7">
      <c r="A10" s="13"/>
    </row>
    <row r="12" spans="1:7">
      <c r="A12" s="1" t="s">
        <v>30</v>
      </c>
      <c r="B12" s="1" t="s">
        <v>31</v>
      </c>
      <c r="C12" s="1" t="s">
        <v>37</v>
      </c>
    </row>
    <row r="13" spans="1:7">
      <c r="A13">
        <f>'Launaseðill 1'!A7</f>
        <v>0</v>
      </c>
      <c r="B13" s="26">
        <f>'Launaseðill 1'!E7</f>
        <v>0</v>
      </c>
      <c r="C13" s="6">
        <f>+'Launaseðill 1'!E33</f>
        <v>0</v>
      </c>
    </row>
    <row r="14" spans="1:7">
      <c r="A14">
        <f>'Launaseðill 2'!A7</f>
        <v>0</v>
      </c>
      <c r="B14" s="26">
        <f>'Launaseðill 2'!E7</f>
        <v>0</v>
      </c>
      <c r="C14" s="6">
        <f>+'Launaseðill 2'!E33</f>
        <v>0</v>
      </c>
    </row>
    <row r="15" spans="1:7">
      <c r="A15">
        <f>'Launaseðill 3'!A7</f>
        <v>0</v>
      </c>
      <c r="B15" s="26">
        <f>'Launaseðill 3'!E7</f>
        <v>0</v>
      </c>
      <c r="C15" s="6">
        <f>+'Launaseðill 3'!E33</f>
        <v>0</v>
      </c>
    </row>
    <row r="16" spans="1:7">
      <c r="B16" s="26"/>
    </row>
    <row r="17" spans="1:3">
      <c r="A17" t="s">
        <v>38</v>
      </c>
      <c r="B17" s="26"/>
      <c r="C17" s="6">
        <f>SUM(C13:C16)</f>
        <v>0</v>
      </c>
    </row>
    <row r="18" spans="1:3">
      <c r="A18" t="s">
        <v>45</v>
      </c>
      <c r="B18" s="26"/>
      <c r="C18" s="9">
        <f>+C17/4*2</f>
        <v>0</v>
      </c>
    </row>
    <row r="19" spans="1:3">
      <c r="A19" s="1" t="s">
        <v>39</v>
      </c>
      <c r="B19" s="1"/>
      <c r="C19" s="8">
        <f>SUM(C17:C18)</f>
        <v>0</v>
      </c>
    </row>
    <row r="23" spans="1:3">
      <c r="B23" s="5"/>
    </row>
    <row r="24" spans="1:3">
      <c r="B24" s="17"/>
    </row>
    <row r="25" spans="1:3">
      <c r="B25" s="5"/>
    </row>
  </sheetData>
  <phoneticPr fontId="4" type="noConversion"/>
  <hyperlinks>
    <hyperlink ref="G1" location="Grunnupplýsingar!A1" display="Heim"/>
  </hyperlink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H34"/>
  <sheetViews>
    <sheetView view="pageBreakPreview" zoomScale="90" zoomScaleNormal="100" zoomScaleSheetLayoutView="90" workbookViewId="0">
      <selection sqref="A1:E23"/>
    </sheetView>
  </sheetViews>
  <sheetFormatPr defaultRowHeight="12.75"/>
  <cols>
    <col min="1" max="1" width="25" customWidth="1"/>
    <col min="2" max="2" width="11.7109375" bestFit="1" customWidth="1"/>
    <col min="3" max="3" width="10.7109375" bestFit="1" customWidth="1"/>
    <col min="4" max="4" width="12" customWidth="1"/>
    <col min="5" max="5" width="14.42578125" bestFit="1" customWidth="1"/>
  </cols>
  <sheetData>
    <row r="1" spans="1:8" ht="19.5">
      <c r="A1" s="2" t="s">
        <v>63</v>
      </c>
      <c r="D1" s="138">
        <f>utmanudur</f>
        <v>40208</v>
      </c>
      <c r="E1" s="138"/>
      <c r="H1" s="129" t="s">
        <v>141</v>
      </c>
    </row>
    <row r="4" spans="1:8">
      <c r="A4" s="1" t="s">
        <v>32</v>
      </c>
      <c r="D4" s="1" t="s">
        <v>33</v>
      </c>
    </row>
    <row r="5" spans="1:8">
      <c r="A5" s="1" t="str">
        <f>ft_heiti</f>
        <v>Bókhald og kennsla ehf</v>
      </c>
      <c r="D5" t="s">
        <v>54</v>
      </c>
    </row>
    <row r="6" spans="1:8">
      <c r="A6" t="str">
        <f>ft_kt</f>
        <v>510808-0530</v>
      </c>
      <c r="D6" t="s">
        <v>34</v>
      </c>
    </row>
    <row r="7" spans="1:8">
      <c r="A7" t="str">
        <f>ft_heimili</f>
        <v>Brekkutanga 2</v>
      </c>
      <c r="D7" t="s">
        <v>35</v>
      </c>
    </row>
    <row r="8" spans="1:8">
      <c r="A8" t="str">
        <f>ft_stadur</f>
        <v>270 Mosfellsbær</v>
      </c>
      <c r="D8" t="s">
        <v>55</v>
      </c>
    </row>
    <row r="9" spans="1:8">
      <c r="A9" s="13"/>
    </row>
    <row r="10" spans="1:8">
      <c r="A10" s="13"/>
    </row>
    <row r="12" spans="1:8">
      <c r="A12" s="1" t="s">
        <v>30</v>
      </c>
      <c r="B12" s="1" t="s">
        <v>31</v>
      </c>
      <c r="C12" s="1" t="s">
        <v>56</v>
      </c>
      <c r="D12" s="1" t="s">
        <v>57</v>
      </c>
      <c r="E12" s="1" t="s">
        <v>108</v>
      </c>
    </row>
    <row r="13" spans="1:8">
      <c r="A13">
        <f>'Launaseðill 1'!A7</f>
        <v>0</v>
      </c>
      <c r="B13" s="5">
        <f>'Launaseðill 1'!E7</f>
        <v>0</v>
      </c>
      <c r="C13" s="6">
        <f>+'Launaseðill 1'!E31</f>
        <v>1715</v>
      </c>
      <c r="D13" s="6">
        <f>+C13/0.7*1</f>
        <v>2450</v>
      </c>
      <c r="E13" s="6">
        <f>+D13*0.58</f>
        <v>1421</v>
      </c>
      <c r="F13" t="s">
        <v>68</v>
      </c>
    </row>
    <row r="14" spans="1:8">
      <c r="A14">
        <f>'Launaseðill 2'!A7</f>
        <v>0</v>
      </c>
      <c r="B14" s="17">
        <f>'Launaseðill 2'!E7</f>
        <v>0</v>
      </c>
      <c r="C14" s="6">
        <f>+'Launaseðill 2'!E31</f>
        <v>0</v>
      </c>
      <c r="D14" s="6">
        <f>+C14/0.7*1</f>
        <v>0</v>
      </c>
      <c r="E14" s="6">
        <f>+D14*0.58</f>
        <v>0</v>
      </c>
    </row>
    <row r="15" spans="1:8">
      <c r="A15">
        <f>'Launaseðill 3'!A7</f>
        <v>0</v>
      </c>
      <c r="B15" s="5">
        <f>'Launaseðill 3'!E7</f>
        <v>0</v>
      </c>
      <c r="C15" s="6">
        <f>+'Launaseðill 3'!E31</f>
        <v>0</v>
      </c>
      <c r="D15" s="6">
        <f>+C15/0.7*1</f>
        <v>0</v>
      </c>
      <c r="E15" s="6">
        <f>+D15*0.58</f>
        <v>0</v>
      </c>
    </row>
    <row r="16" spans="1:8">
      <c r="C16" s="4"/>
      <c r="D16" s="4"/>
      <c r="E16" s="4"/>
    </row>
    <row r="17" spans="2:5">
      <c r="C17" s="6">
        <f>SUM(C13:C16)</f>
        <v>1715</v>
      </c>
      <c r="D17" s="6">
        <f>SUM(D13:D16)</f>
        <v>2450</v>
      </c>
      <c r="E17" s="6">
        <f>SUM(E13:E16)</f>
        <v>1421</v>
      </c>
    </row>
    <row r="20" spans="2:5">
      <c r="B20" s="1" t="s">
        <v>58</v>
      </c>
      <c r="C20" s="8">
        <f>+C17+D17+E17</f>
        <v>5586</v>
      </c>
    </row>
    <row r="21" spans="2:5">
      <c r="E21" s="40">
        <f>SUM(E22:E24)</f>
        <v>5.7999999999999996E-3</v>
      </c>
    </row>
    <row r="22" spans="2:5">
      <c r="C22" s="13" t="s">
        <v>101</v>
      </c>
      <c r="E22" s="39">
        <v>2E-3</v>
      </c>
    </row>
    <row r="23" spans="2:5">
      <c r="C23" s="13" t="s">
        <v>102</v>
      </c>
      <c r="E23" s="39">
        <v>1.2999999999999999E-3</v>
      </c>
    </row>
    <row r="24" spans="2:5">
      <c r="C24" s="13" t="s">
        <v>103</v>
      </c>
      <c r="E24" s="39">
        <v>2.5000000000000001E-3</v>
      </c>
    </row>
    <row r="34" spans="4:5">
      <c r="D34" s="27">
        <v>0.01</v>
      </c>
      <c r="E34" s="27">
        <v>0.25</v>
      </c>
    </row>
  </sheetData>
  <mergeCells count="1">
    <mergeCell ref="D1:E1"/>
  </mergeCells>
  <phoneticPr fontId="4" type="noConversion"/>
  <hyperlinks>
    <hyperlink ref="H1" location="Grunnupplýsingar!A1" display="Heim"/>
  </hyperlink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G21"/>
  <sheetViews>
    <sheetView workbookViewId="0">
      <selection activeCell="G1" sqref="G1"/>
    </sheetView>
  </sheetViews>
  <sheetFormatPr defaultRowHeight="12.75"/>
  <cols>
    <col min="1" max="1" width="25" customWidth="1"/>
    <col min="2" max="2" width="14.28515625" customWidth="1"/>
    <col min="3" max="3" width="10.7109375" bestFit="1" customWidth="1"/>
    <col min="4" max="4" width="12" customWidth="1"/>
    <col min="5" max="5" width="14.42578125" bestFit="1" customWidth="1"/>
  </cols>
  <sheetData>
    <row r="1" spans="1:7" ht="19.5">
      <c r="A1" s="2" t="s">
        <v>64</v>
      </c>
      <c r="D1" s="138">
        <f>utmanudur</f>
        <v>40208</v>
      </c>
      <c r="E1" s="138"/>
      <c r="G1" s="129" t="s">
        <v>141</v>
      </c>
    </row>
    <row r="4" spans="1:7">
      <c r="A4" s="1" t="s">
        <v>32</v>
      </c>
      <c r="D4" s="1" t="s">
        <v>33</v>
      </c>
    </row>
    <row r="5" spans="1:7">
      <c r="A5" s="1" t="str">
        <f>ft_heiti</f>
        <v>Bókhald og kennsla ehf</v>
      </c>
      <c r="D5" t="s">
        <v>59</v>
      </c>
    </row>
    <row r="6" spans="1:7">
      <c r="A6" t="str">
        <f>ft_kt</f>
        <v>510808-0530</v>
      </c>
      <c r="D6" t="s">
        <v>60</v>
      </c>
    </row>
    <row r="7" spans="1:7">
      <c r="A7" t="str">
        <f>ft_heimili</f>
        <v>Brekkutanga 2</v>
      </c>
      <c r="D7" t="s">
        <v>61</v>
      </c>
    </row>
    <row r="8" spans="1:7">
      <c r="A8" t="str">
        <f>ft_stadur</f>
        <v>270 Mosfellsbær</v>
      </c>
      <c r="D8" t="s">
        <v>62</v>
      </c>
    </row>
    <row r="9" spans="1:7">
      <c r="A9" s="13"/>
    </row>
    <row r="10" spans="1:7">
      <c r="A10" s="13"/>
    </row>
    <row r="11" spans="1:7">
      <c r="D11" s="1"/>
      <c r="E11" s="1"/>
    </row>
    <row r="12" spans="1:7">
      <c r="A12" s="1" t="s">
        <v>30</v>
      </c>
      <c r="B12" s="25" t="s">
        <v>31</v>
      </c>
      <c r="C12" s="1" t="s">
        <v>28</v>
      </c>
      <c r="D12" s="16"/>
      <c r="E12" s="16"/>
    </row>
    <row r="13" spans="1:7">
      <c r="A13">
        <f>'Launaseðill 1'!A7</f>
        <v>0</v>
      </c>
      <c r="B13" s="26">
        <f>'Launaseðill 1'!E7</f>
        <v>0</v>
      </c>
      <c r="C13" s="6">
        <f>'Launaseðill 1'!E40</f>
        <v>0</v>
      </c>
      <c r="D13" s="12"/>
      <c r="E13" s="12"/>
    </row>
    <row r="14" spans="1:7">
      <c r="A14">
        <f>'Launaseðill 2'!A7</f>
        <v>0</v>
      </c>
      <c r="B14" s="26">
        <f>'Launaseðill 2'!E7</f>
        <v>0</v>
      </c>
      <c r="C14" s="6">
        <f>'Launaseðill 2'!E39</f>
        <v>0</v>
      </c>
      <c r="D14" s="12"/>
      <c r="E14" s="12"/>
    </row>
    <row r="15" spans="1:7">
      <c r="A15">
        <f>'Launaseðill 3'!A7</f>
        <v>0</v>
      </c>
      <c r="B15" s="26">
        <f>'Launaseðill 3'!E7</f>
        <v>0</v>
      </c>
      <c r="C15" s="6">
        <f>'Launaseðill 3'!E39</f>
        <v>0</v>
      </c>
      <c r="D15" s="12"/>
      <c r="E15" s="12"/>
    </row>
    <row r="16" spans="1:7">
      <c r="B16" s="26"/>
      <c r="C16" s="6"/>
      <c r="D16" s="12"/>
      <c r="E16" s="12"/>
    </row>
    <row r="17" spans="2:5">
      <c r="B17" s="28"/>
      <c r="C17" s="4"/>
      <c r="D17" s="11"/>
      <c r="E17" s="11"/>
    </row>
    <row r="18" spans="2:5">
      <c r="B18" s="26"/>
      <c r="C18" s="6">
        <f>SUM(C13:C17)</f>
        <v>0</v>
      </c>
      <c r="D18" s="12"/>
      <c r="E18" s="12"/>
    </row>
    <row r="19" spans="2:5">
      <c r="D19" s="11"/>
      <c r="E19" s="11"/>
    </row>
    <row r="20" spans="2:5">
      <c r="D20" s="11"/>
      <c r="E20" s="11"/>
    </row>
    <row r="21" spans="2:5">
      <c r="B21" s="1" t="s">
        <v>58</v>
      </c>
      <c r="C21" s="8">
        <f>+C18+D18+E18</f>
        <v>0</v>
      </c>
    </row>
  </sheetData>
  <mergeCells count="1">
    <mergeCell ref="D1:E1"/>
  </mergeCells>
  <phoneticPr fontId="4" type="noConversion"/>
  <hyperlinks>
    <hyperlink ref="G1" location="Grunnupplýsingar!A1" display="Heim"/>
  </hyperlinks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26</vt:i4>
      </vt:variant>
    </vt:vector>
  </HeadingPairs>
  <TitlesOfParts>
    <vt:vector size="40" baseType="lpstr">
      <vt:lpstr>Grunnupplýsingar</vt:lpstr>
      <vt:lpstr>bókunarblað</vt:lpstr>
      <vt:lpstr>Launaseðill 1</vt:lpstr>
      <vt:lpstr>Launaseðill 2</vt:lpstr>
      <vt:lpstr>Launaseðill 3</vt:lpstr>
      <vt:lpstr>Lífeyrissjóður</vt:lpstr>
      <vt:lpstr>Viðbótarlífeyrissjóður</vt:lpstr>
      <vt:lpstr>Félagsgjöld</vt:lpstr>
      <vt:lpstr>Meðlag</vt:lpstr>
      <vt:lpstr>Staðgreiðsla</vt:lpstr>
      <vt:lpstr>orlof í banka</vt:lpstr>
      <vt:lpstr>Ógr. laun</vt:lpstr>
      <vt:lpstr>launaforsendur</vt:lpstr>
      <vt:lpstr>Sheet2</vt:lpstr>
      <vt:lpstr>akstur</vt:lpstr>
      <vt:lpstr>bilast</vt:lpstr>
      <vt:lpstr>felagsgj</vt:lpstr>
      <vt:lpstr>ft</vt:lpstr>
      <vt:lpstr>ft_heimili</vt:lpstr>
      <vt:lpstr>ft_heiti</vt:lpstr>
      <vt:lpstr>ft_kt</vt:lpstr>
      <vt:lpstr>ft_stadur</vt:lpstr>
      <vt:lpstr>lifsj</vt:lpstr>
      <vt:lpstr>lifsjvidb</vt:lpstr>
      <vt:lpstr>manlaun</vt:lpstr>
      <vt:lpstr>Orlof</vt:lpstr>
      <vt:lpstr>personufradr</vt:lpstr>
      <vt:lpstr>bókunarblað!Print_Area</vt:lpstr>
      <vt:lpstr>Félagsgjöld!Print_Area</vt:lpstr>
      <vt:lpstr>'Launaseðill 1'!Print_Area</vt:lpstr>
      <vt:lpstr>'Launaseðill 2'!Print_Area</vt:lpstr>
      <vt:lpstr>'Launaseðill 3'!Print_Area</vt:lpstr>
      <vt:lpstr>Lífeyrissjóður!Print_Area</vt:lpstr>
      <vt:lpstr>skattur</vt:lpstr>
      <vt:lpstr>tryggingagjald</vt:lpstr>
      <vt:lpstr>utbnr</vt:lpstr>
      <vt:lpstr>utbtimabil</vt:lpstr>
      <vt:lpstr>utdagur</vt:lpstr>
      <vt:lpstr>utmanudur</vt:lpstr>
      <vt:lpstr>yv</vt:lpstr>
    </vt:vector>
  </TitlesOfParts>
  <Company>Deloitte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launaútreikningar 2010</dc:title>
  <dc:subject>3 starfsmenn</dc:subject>
  <dc:creator>Inga Jóna Óskarsdóttir</dc:creator>
  <cp:lastModifiedBy>ingajona</cp:lastModifiedBy>
  <cp:lastPrinted>2010-01-19T22:52:51Z</cp:lastPrinted>
  <dcterms:created xsi:type="dcterms:W3CDTF">2005-05-08T12:29:03Z</dcterms:created>
  <dcterms:modified xsi:type="dcterms:W3CDTF">2011-05-13T21:17:55Z</dcterms:modified>
</cp:coreProperties>
</file>